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R:\new_R_drive_structure\projects\EARN COVID-19 response\job loss projection by state\"/>
    </mc:Choice>
  </mc:AlternateContent>
  <xr:revisionPtr revIDLastSave="0" documentId="13_ncr:1_{48F32BE9-E790-443E-84C5-B4BFDA7F0D16}" xr6:coauthVersionLast="45" xr6:coauthVersionMax="45" xr10:uidLastSave="{00000000-0000-0000-0000-000000000000}"/>
  <bookViews>
    <workbookView xWindow="-98" yWindow="-98" windowWidth="22695" windowHeight="14595" xr2:uid="{00000000-000D-0000-FFFF-FFFF00000000}"/>
  </bookViews>
  <sheets>
    <sheet name="Analysis" sheetId="1" r:id="rId1"/>
  </sheets>
  <externalReferences>
    <externalReference r:id="rId2"/>
    <externalReference r:id="rId3"/>
    <externalReference r:id="rId4"/>
  </externalReferences>
  <definedNames>
    <definedName name="currentmonth" localSheetId="0">'[1]Reference Sheet'!$I$2</definedName>
    <definedName name="currentmonth">'[2]Reference Sheet'!$I$2</definedName>
    <definedName name="currentquarter">'[1]Reference Sheet'!$I$4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6" i="1" l="1"/>
  <c r="Y8" i="1" s="1"/>
  <c r="AE3" i="1"/>
  <c r="Y10" i="1"/>
  <c r="Y11" i="1"/>
  <c r="Y14" i="1"/>
  <c r="Y15" i="1"/>
  <c r="Y19" i="1"/>
  <c r="Y22" i="1"/>
  <c r="Y23" i="1"/>
  <c r="Y27" i="1"/>
  <c r="Y30" i="1"/>
  <c r="Y31" i="1"/>
  <c r="Y35" i="1"/>
  <c r="Y38" i="1"/>
  <c r="Y39" i="1"/>
  <c r="Y43" i="1"/>
  <c r="Y46" i="1"/>
  <c r="Y47" i="1"/>
  <c r="Y50" i="1"/>
  <c r="Y51" i="1"/>
  <c r="Y54" i="1"/>
  <c r="Y55" i="1"/>
  <c r="Y7" i="1"/>
  <c r="G14" i="1"/>
  <c r="G15" i="1"/>
  <c r="G18" i="1"/>
  <c r="O8" i="1"/>
  <c r="P8" i="1"/>
  <c r="O9" i="1"/>
  <c r="P9" i="1"/>
  <c r="O10" i="1"/>
  <c r="P10" i="1"/>
  <c r="O11" i="1"/>
  <c r="P11" i="1"/>
  <c r="O12" i="1"/>
  <c r="P12" i="1"/>
  <c r="O13" i="1"/>
  <c r="P13" i="1"/>
  <c r="P14" i="1"/>
  <c r="P15" i="1"/>
  <c r="O16" i="1"/>
  <c r="P16" i="1"/>
  <c r="O17" i="1"/>
  <c r="P17" i="1"/>
  <c r="P18" i="1"/>
  <c r="O19" i="1"/>
  <c r="P19" i="1"/>
  <c r="O20" i="1"/>
  <c r="P20" i="1"/>
  <c r="O21" i="1"/>
  <c r="P21" i="1"/>
  <c r="O22" i="1"/>
  <c r="P22" i="1"/>
  <c r="O23" i="1"/>
  <c r="P23" i="1"/>
  <c r="O24" i="1"/>
  <c r="P24" i="1"/>
  <c r="O25" i="1"/>
  <c r="P25" i="1"/>
  <c r="O26" i="1"/>
  <c r="P26" i="1"/>
  <c r="O27" i="1"/>
  <c r="P27" i="1"/>
  <c r="O28" i="1"/>
  <c r="P28" i="1"/>
  <c r="O29" i="1"/>
  <c r="P29" i="1"/>
  <c r="O30" i="1"/>
  <c r="P30" i="1"/>
  <c r="O31" i="1"/>
  <c r="P31" i="1"/>
  <c r="O32" i="1"/>
  <c r="P32" i="1"/>
  <c r="O33" i="1"/>
  <c r="P33" i="1"/>
  <c r="O34" i="1"/>
  <c r="P34" i="1"/>
  <c r="O35" i="1"/>
  <c r="P35" i="1"/>
  <c r="O36" i="1"/>
  <c r="P36" i="1"/>
  <c r="O37" i="1"/>
  <c r="P37" i="1"/>
  <c r="O38" i="1"/>
  <c r="P38" i="1"/>
  <c r="O39" i="1"/>
  <c r="P39" i="1"/>
  <c r="O40" i="1"/>
  <c r="P40" i="1"/>
  <c r="O41" i="1"/>
  <c r="P41" i="1"/>
  <c r="O42" i="1"/>
  <c r="P42" i="1"/>
  <c r="O43" i="1"/>
  <c r="P43" i="1"/>
  <c r="O44" i="1"/>
  <c r="P44" i="1"/>
  <c r="O45" i="1"/>
  <c r="P45" i="1"/>
  <c r="O46" i="1"/>
  <c r="P46" i="1"/>
  <c r="O47" i="1"/>
  <c r="P47" i="1"/>
  <c r="O48" i="1"/>
  <c r="P48" i="1"/>
  <c r="O49" i="1"/>
  <c r="P49" i="1"/>
  <c r="O50" i="1"/>
  <c r="P50" i="1"/>
  <c r="O51" i="1"/>
  <c r="P51" i="1"/>
  <c r="O52" i="1"/>
  <c r="P52" i="1"/>
  <c r="O53" i="1"/>
  <c r="P53" i="1"/>
  <c r="O54" i="1"/>
  <c r="P54" i="1"/>
  <c r="O55" i="1"/>
  <c r="P55" i="1"/>
  <c r="O56" i="1"/>
  <c r="P56" i="1"/>
  <c r="O57" i="1"/>
  <c r="P57" i="1"/>
  <c r="P7" i="1"/>
  <c r="O7" i="1"/>
  <c r="P6" i="1"/>
  <c r="O6"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7" i="1"/>
  <c r="H6" i="1"/>
  <c r="G8" i="1"/>
  <c r="G9" i="1"/>
  <c r="G10" i="1"/>
  <c r="G11" i="1"/>
  <c r="G12" i="1"/>
  <c r="G13" i="1"/>
  <c r="G16" i="1"/>
  <c r="G17"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7" i="1"/>
  <c r="G6" i="1"/>
  <c r="Y45" i="1" l="1"/>
  <c r="Y13" i="1"/>
  <c r="Y53" i="1"/>
  <c r="Y37" i="1"/>
  <c r="Y29" i="1"/>
  <c r="Y21" i="1"/>
  <c r="Y52" i="1"/>
  <c r="Y44" i="1"/>
  <c r="Y36" i="1"/>
  <c r="Y28" i="1"/>
  <c r="Y20" i="1"/>
  <c r="Y12" i="1"/>
  <c r="Y57" i="1"/>
  <c r="Y49" i="1"/>
  <c r="Y41" i="1"/>
  <c r="Y33" i="1"/>
  <c r="Y25" i="1"/>
  <c r="Y17" i="1"/>
  <c r="Y9" i="1"/>
  <c r="Y42" i="1"/>
  <c r="Y34" i="1"/>
  <c r="Y26" i="1"/>
  <c r="Y18" i="1"/>
  <c r="Y56" i="1"/>
  <c r="Y48" i="1"/>
  <c r="Y40" i="1"/>
  <c r="Y32" i="1"/>
  <c r="Y24" i="1"/>
  <c r="Y16" i="1"/>
  <c r="T6" i="1"/>
  <c r="S6" i="1"/>
  <c r="R6" i="1"/>
  <c r="R3" i="1"/>
  <c r="M57" i="1" l="1"/>
  <c r="L57" i="1"/>
  <c r="K57" i="1"/>
  <c r="R57" i="1" s="1"/>
  <c r="J57" i="1"/>
  <c r="F57" i="1"/>
  <c r="M56" i="1"/>
  <c r="L56" i="1"/>
  <c r="K56" i="1"/>
  <c r="J56" i="1"/>
  <c r="F56" i="1"/>
  <c r="M55" i="1"/>
  <c r="L55" i="1"/>
  <c r="K55" i="1"/>
  <c r="J55" i="1"/>
  <c r="F55" i="1"/>
  <c r="M54" i="1"/>
  <c r="L54" i="1"/>
  <c r="K54" i="1"/>
  <c r="J54" i="1"/>
  <c r="F54" i="1"/>
  <c r="M53" i="1"/>
  <c r="L53" i="1"/>
  <c r="K53" i="1"/>
  <c r="J53" i="1"/>
  <c r="F53" i="1"/>
  <c r="U53" i="1" s="1"/>
  <c r="M52" i="1"/>
  <c r="L52" i="1"/>
  <c r="K52" i="1"/>
  <c r="J52" i="1"/>
  <c r="F52" i="1"/>
  <c r="U52" i="1" s="1"/>
  <c r="M51" i="1"/>
  <c r="L51" i="1"/>
  <c r="K51" i="1"/>
  <c r="J51" i="1"/>
  <c r="F51" i="1"/>
  <c r="M50" i="1"/>
  <c r="L50" i="1"/>
  <c r="K50" i="1"/>
  <c r="J50" i="1"/>
  <c r="F50" i="1"/>
  <c r="M49" i="1"/>
  <c r="L49" i="1"/>
  <c r="K49" i="1"/>
  <c r="R49" i="1" s="1"/>
  <c r="J49" i="1"/>
  <c r="F49" i="1"/>
  <c r="M48" i="1"/>
  <c r="L48" i="1"/>
  <c r="K48" i="1"/>
  <c r="J48" i="1"/>
  <c r="F48" i="1"/>
  <c r="M47" i="1"/>
  <c r="L47" i="1"/>
  <c r="K47" i="1"/>
  <c r="J47" i="1"/>
  <c r="F47" i="1"/>
  <c r="M46" i="1"/>
  <c r="L46" i="1"/>
  <c r="K46" i="1"/>
  <c r="J46" i="1"/>
  <c r="F46" i="1"/>
  <c r="U46" i="1" s="1"/>
  <c r="M45" i="1"/>
  <c r="L45" i="1"/>
  <c r="K45" i="1"/>
  <c r="J45" i="1"/>
  <c r="F45" i="1"/>
  <c r="U45" i="1" s="1"/>
  <c r="M44" i="1"/>
  <c r="L44" i="1"/>
  <c r="K44" i="1"/>
  <c r="J44" i="1"/>
  <c r="F44" i="1"/>
  <c r="M43" i="1"/>
  <c r="L43" i="1"/>
  <c r="K43" i="1"/>
  <c r="J43" i="1"/>
  <c r="F43" i="1"/>
  <c r="M42" i="1"/>
  <c r="L42" i="1"/>
  <c r="K42" i="1"/>
  <c r="J42" i="1"/>
  <c r="F42" i="1"/>
  <c r="U42" i="1" s="1"/>
  <c r="M41" i="1"/>
  <c r="L41" i="1"/>
  <c r="K41" i="1"/>
  <c r="R41" i="1" s="1"/>
  <c r="J41" i="1"/>
  <c r="F41" i="1"/>
  <c r="M40" i="1"/>
  <c r="L40" i="1"/>
  <c r="K40" i="1"/>
  <c r="J40" i="1"/>
  <c r="F40" i="1"/>
  <c r="M39" i="1"/>
  <c r="L39" i="1"/>
  <c r="K39" i="1"/>
  <c r="J39" i="1"/>
  <c r="F39" i="1"/>
  <c r="M38" i="1"/>
  <c r="L38" i="1"/>
  <c r="K38" i="1"/>
  <c r="J38" i="1"/>
  <c r="F38" i="1"/>
  <c r="M37" i="1"/>
  <c r="L37" i="1"/>
  <c r="K37" i="1"/>
  <c r="J37" i="1"/>
  <c r="F37" i="1"/>
  <c r="U37" i="1" s="1"/>
  <c r="M36" i="1"/>
  <c r="L36" i="1"/>
  <c r="K36" i="1"/>
  <c r="J36" i="1"/>
  <c r="F36" i="1"/>
  <c r="M35" i="1"/>
  <c r="L35" i="1"/>
  <c r="K35" i="1"/>
  <c r="J35" i="1"/>
  <c r="F35" i="1"/>
  <c r="M34" i="1"/>
  <c r="L34" i="1"/>
  <c r="K34" i="1"/>
  <c r="J34" i="1"/>
  <c r="F34" i="1"/>
  <c r="U34" i="1" s="1"/>
  <c r="M33" i="1"/>
  <c r="L33" i="1"/>
  <c r="K33" i="1"/>
  <c r="J33" i="1"/>
  <c r="F33" i="1"/>
  <c r="M32" i="1"/>
  <c r="L32" i="1"/>
  <c r="K32" i="1"/>
  <c r="J32" i="1"/>
  <c r="F32" i="1"/>
  <c r="M31" i="1"/>
  <c r="L31" i="1"/>
  <c r="K31" i="1"/>
  <c r="J31" i="1"/>
  <c r="F31" i="1"/>
  <c r="M30" i="1"/>
  <c r="L30" i="1"/>
  <c r="K30" i="1"/>
  <c r="J30" i="1"/>
  <c r="F30" i="1"/>
  <c r="M29" i="1"/>
  <c r="L29" i="1"/>
  <c r="K29" i="1"/>
  <c r="J29" i="1"/>
  <c r="F29" i="1"/>
  <c r="M28" i="1"/>
  <c r="L28" i="1"/>
  <c r="K28" i="1"/>
  <c r="R28" i="1" s="1"/>
  <c r="J28" i="1"/>
  <c r="F28" i="1"/>
  <c r="U28" i="1" s="1"/>
  <c r="M27" i="1"/>
  <c r="L27" i="1"/>
  <c r="K27" i="1"/>
  <c r="J27" i="1"/>
  <c r="F27" i="1"/>
  <c r="M26" i="1"/>
  <c r="L26" i="1"/>
  <c r="K26" i="1"/>
  <c r="J26" i="1"/>
  <c r="F26" i="1"/>
  <c r="M25" i="1"/>
  <c r="L25" i="1"/>
  <c r="K25" i="1"/>
  <c r="J25" i="1"/>
  <c r="F25" i="1"/>
  <c r="M24" i="1"/>
  <c r="L24" i="1"/>
  <c r="K24" i="1"/>
  <c r="R24" i="1" s="1"/>
  <c r="J24" i="1"/>
  <c r="F24" i="1"/>
  <c r="M23" i="1"/>
  <c r="L23" i="1"/>
  <c r="K23" i="1"/>
  <c r="R23" i="1" s="1"/>
  <c r="J23" i="1"/>
  <c r="F23" i="1"/>
  <c r="M22" i="1"/>
  <c r="L22" i="1"/>
  <c r="K22" i="1"/>
  <c r="J22" i="1"/>
  <c r="F22" i="1"/>
  <c r="M21" i="1"/>
  <c r="L21" i="1"/>
  <c r="K21" i="1"/>
  <c r="J21" i="1"/>
  <c r="F21" i="1"/>
  <c r="M20" i="1"/>
  <c r="L20" i="1"/>
  <c r="K20" i="1"/>
  <c r="J20" i="1"/>
  <c r="F20" i="1"/>
  <c r="U20" i="1" s="1"/>
  <c r="M19" i="1"/>
  <c r="L19" i="1"/>
  <c r="K19" i="1"/>
  <c r="R19" i="1" s="1"/>
  <c r="J19" i="1"/>
  <c r="F19" i="1"/>
  <c r="M18" i="1"/>
  <c r="L18" i="1"/>
  <c r="K18" i="1"/>
  <c r="J18" i="1"/>
  <c r="F18" i="1"/>
  <c r="M17" i="1"/>
  <c r="L17" i="1"/>
  <c r="K17" i="1"/>
  <c r="J17" i="1"/>
  <c r="F17" i="1"/>
  <c r="M16" i="1"/>
  <c r="L16" i="1"/>
  <c r="K16" i="1"/>
  <c r="J16" i="1"/>
  <c r="F16" i="1"/>
  <c r="U16" i="1" s="1"/>
  <c r="M15" i="1"/>
  <c r="L15" i="1"/>
  <c r="K15" i="1"/>
  <c r="R15" i="1" s="1"/>
  <c r="J15" i="1"/>
  <c r="F15" i="1"/>
  <c r="M14" i="1"/>
  <c r="L14" i="1"/>
  <c r="K14" i="1"/>
  <c r="J14" i="1"/>
  <c r="F14" i="1"/>
  <c r="M13" i="1"/>
  <c r="L13" i="1"/>
  <c r="K13" i="1"/>
  <c r="J13" i="1"/>
  <c r="F13" i="1"/>
  <c r="M12" i="1"/>
  <c r="L12" i="1"/>
  <c r="K12" i="1"/>
  <c r="J12" i="1"/>
  <c r="F12" i="1"/>
  <c r="M11" i="1"/>
  <c r="L11" i="1"/>
  <c r="K11" i="1"/>
  <c r="J11" i="1"/>
  <c r="F11" i="1"/>
  <c r="M10" i="1"/>
  <c r="L10" i="1"/>
  <c r="K10" i="1"/>
  <c r="J10" i="1"/>
  <c r="F10" i="1"/>
  <c r="M9" i="1"/>
  <c r="L9" i="1"/>
  <c r="K9" i="1"/>
  <c r="R9" i="1" s="1"/>
  <c r="J9" i="1"/>
  <c r="F9" i="1"/>
  <c r="U9" i="1" s="1"/>
  <c r="M8" i="1"/>
  <c r="L8" i="1"/>
  <c r="K8" i="1"/>
  <c r="J8" i="1"/>
  <c r="F8" i="1"/>
  <c r="U8" i="1" s="1"/>
  <c r="M7" i="1"/>
  <c r="L7" i="1"/>
  <c r="K7" i="1"/>
  <c r="J7" i="1"/>
  <c r="F7" i="1"/>
  <c r="V6" i="1"/>
  <c r="M6" i="1"/>
  <c r="L6" i="1"/>
  <c r="K6" i="1"/>
  <c r="J6" i="1"/>
  <c r="F6" i="1"/>
  <c r="N20" i="1" l="1"/>
  <c r="S20" i="1" s="1"/>
  <c r="R56" i="1"/>
  <c r="R52" i="1"/>
  <c r="N12" i="1"/>
  <c r="S12" i="1" s="1"/>
  <c r="U18" i="1"/>
  <c r="R32" i="1"/>
  <c r="R7" i="1"/>
  <c r="R16" i="1"/>
  <c r="R20" i="1"/>
  <c r="R44" i="1"/>
  <c r="R48" i="1"/>
  <c r="U44" i="1"/>
  <c r="U12" i="1"/>
  <c r="R26" i="1"/>
  <c r="U30" i="1"/>
  <c r="R40" i="1"/>
  <c r="U54" i="1"/>
  <c r="U26" i="1"/>
  <c r="U40" i="1"/>
  <c r="U50" i="1"/>
  <c r="R18" i="1"/>
  <c r="U22" i="1"/>
  <c r="U36" i="1"/>
  <c r="R39" i="1"/>
  <c r="N24" i="1"/>
  <c r="S24" i="1" s="1"/>
  <c r="R14" i="1"/>
  <c r="U32" i="1"/>
  <c r="U38" i="1"/>
  <c r="R55" i="1"/>
  <c r="N16" i="1"/>
  <c r="N9" i="1"/>
  <c r="S9" i="1" s="1"/>
  <c r="T9" i="1" s="1"/>
  <c r="V9" i="1" s="1"/>
  <c r="R8" i="1"/>
  <c r="U14" i="1"/>
  <c r="R22" i="1"/>
  <c r="U24" i="1"/>
  <c r="R30" i="1"/>
  <c r="R36" i="1"/>
  <c r="R12" i="1"/>
  <c r="U7" i="1"/>
  <c r="N6" i="1"/>
  <c r="N10" i="1"/>
  <c r="S10" i="1" s="1"/>
  <c r="R47" i="1"/>
  <c r="R17" i="1"/>
  <c r="N27" i="1"/>
  <c r="U27" i="1"/>
  <c r="U6" i="1"/>
  <c r="N8" i="1"/>
  <c r="R10" i="1"/>
  <c r="U10" i="1"/>
  <c r="R11" i="1"/>
  <c r="R13" i="1"/>
  <c r="U19" i="1"/>
  <c r="N19" i="1"/>
  <c r="R25" i="1"/>
  <c r="R31" i="1"/>
  <c r="N7" i="1"/>
  <c r="R21" i="1"/>
  <c r="N54" i="1"/>
  <c r="N46" i="1"/>
  <c r="N38" i="1"/>
  <c r="N40" i="1"/>
  <c r="N50" i="1"/>
  <c r="N42" i="1"/>
  <c r="N34" i="1"/>
  <c r="N52" i="1"/>
  <c r="N32" i="1"/>
  <c r="N30" i="1"/>
  <c r="N28" i="1"/>
  <c r="N36" i="1"/>
  <c r="N26" i="1"/>
  <c r="N22" i="1"/>
  <c r="N18" i="1"/>
  <c r="N14" i="1"/>
  <c r="N44" i="1"/>
  <c r="U11" i="1"/>
  <c r="N11" i="1"/>
  <c r="N13" i="1"/>
  <c r="U13" i="1"/>
  <c r="U15" i="1"/>
  <c r="N15" i="1"/>
  <c r="U23" i="1"/>
  <c r="N23" i="1"/>
  <c r="R29" i="1"/>
  <c r="U17" i="1"/>
  <c r="U21" i="1"/>
  <c r="U25" i="1"/>
  <c r="N33" i="1"/>
  <c r="U41" i="1"/>
  <c r="N41" i="1"/>
  <c r="N43" i="1"/>
  <c r="U43" i="1"/>
  <c r="R45" i="1"/>
  <c r="R46" i="1"/>
  <c r="U57" i="1"/>
  <c r="N57" i="1"/>
  <c r="R27" i="1"/>
  <c r="N29" i="1"/>
  <c r="U29" i="1"/>
  <c r="U31" i="1"/>
  <c r="N31" i="1"/>
  <c r="N35" i="1"/>
  <c r="U35" i="1"/>
  <c r="R37" i="1"/>
  <c r="R38" i="1"/>
  <c r="N17" i="1"/>
  <c r="N21" i="1"/>
  <c r="N25" i="1"/>
  <c r="R33" i="1"/>
  <c r="U49" i="1"/>
  <c r="N49" i="1"/>
  <c r="N51" i="1"/>
  <c r="U51" i="1"/>
  <c r="R53" i="1"/>
  <c r="R54" i="1"/>
  <c r="U33" i="1"/>
  <c r="R35" i="1"/>
  <c r="N39" i="1"/>
  <c r="R43" i="1"/>
  <c r="N47" i="1"/>
  <c r="N48" i="1"/>
  <c r="U48" i="1"/>
  <c r="R51" i="1"/>
  <c r="N55" i="1"/>
  <c r="N56" i="1"/>
  <c r="U56" i="1"/>
  <c r="R34" i="1"/>
  <c r="N37" i="1"/>
  <c r="U39" i="1"/>
  <c r="R42" i="1"/>
  <c r="N45" i="1"/>
  <c r="U47" i="1"/>
  <c r="R50" i="1"/>
  <c r="N53" i="1"/>
  <c r="U55" i="1"/>
  <c r="S16" i="1" l="1"/>
  <c r="T16" i="1" s="1"/>
  <c r="V16" i="1" s="1"/>
  <c r="T10" i="1"/>
  <c r="V10" i="1" s="1"/>
  <c r="S25" i="1"/>
  <c r="S36" i="1"/>
  <c r="S40" i="1"/>
  <c r="T24" i="1"/>
  <c r="V24" i="1" s="1"/>
  <c r="S21" i="1"/>
  <c r="S43" i="1"/>
  <c r="S23" i="1"/>
  <c r="S15" i="1"/>
  <c r="S13" i="1"/>
  <c r="S18" i="1"/>
  <c r="S28" i="1"/>
  <c r="S34" i="1"/>
  <c r="S38" i="1"/>
  <c r="S8" i="1"/>
  <c r="S27" i="1"/>
  <c r="S47" i="1"/>
  <c r="S29" i="1"/>
  <c r="S14" i="1"/>
  <c r="S52" i="1"/>
  <c r="S19" i="1"/>
  <c r="S56" i="1"/>
  <c r="S51" i="1"/>
  <c r="S17" i="1"/>
  <c r="S35" i="1"/>
  <c r="S22" i="1"/>
  <c r="S30" i="1"/>
  <c r="S42" i="1"/>
  <c r="S46" i="1"/>
  <c r="S7" i="1"/>
  <c r="T20" i="1"/>
  <c r="V20" i="1" s="1"/>
  <c r="T12" i="1"/>
  <c r="V12" i="1" s="1"/>
  <c r="S49" i="1"/>
  <c r="S31" i="1"/>
  <c r="S57" i="1"/>
  <c r="S33" i="1"/>
  <c r="S53" i="1"/>
  <c r="S45" i="1"/>
  <c r="S37" i="1"/>
  <c r="S55" i="1"/>
  <c r="S48" i="1"/>
  <c r="S39" i="1"/>
  <c r="S41" i="1"/>
  <c r="T29" i="1"/>
  <c r="V29" i="1" s="1"/>
  <c r="S11" i="1"/>
  <c r="S44" i="1"/>
  <c r="S26" i="1"/>
  <c r="S32" i="1"/>
  <c r="S50" i="1"/>
  <c r="S54" i="1"/>
  <c r="T21" i="1" l="1"/>
  <c r="V21" i="1" s="1"/>
  <c r="T13" i="1"/>
  <c r="V13" i="1" s="1"/>
  <c r="T34" i="1"/>
  <c r="V34" i="1" s="1"/>
  <c r="T11" i="1"/>
  <c r="V11" i="1" s="1"/>
  <c r="T45" i="1"/>
  <c r="V45" i="1" s="1"/>
  <c r="T25" i="1"/>
  <c r="V25" i="1" s="1"/>
  <c r="T17" i="1"/>
  <c r="V17" i="1" s="1"/>
  <c r="T37" i="1"/>
  <c r="V37" i="1" s="1"/>
  <c r="T27" i="1"/>
  <c r="V27" i="1" s="1"/>
  <c r="T54" i="1"/>
  <c r="V54" i="1" s="1"/>
  <c r="T42" i="1"/>
  <c r="V42" i="1" s="1"/>
  <c r="T23" i="1"/>
  <c r="V23" i="1" s="1"/>
  <c r="T49" i="1"/>
  <c r="V49" i="1" s="1"/>
  <c r="T7" i="1"/>
  <c r="V7" i="1" s="1"/>
  <c r="T43" i="1"/>
  <c r="V43" i="1" s="1"/>
  <c r="T14" i="1"/>
  <c r="V14" i="1" s="1"/>
  <c r="T47" i="1"/>
  <c r="V47" i="1" s="1"/>
  <c r="T15" i="1"/>
  <c r="V15" i="1" s="1"/>
  <c r="T35" i="1"/>
  <c r="V35" i="1" s="1"/>
  <c r="T55" i="1"/>
  <c r="V55" i="1" s="1"/>
  <c r="T22" i="1"/>
  <c r="V22" i="1" s="1"/>
  <c r="T56" i="1"/>
  <c r="V56" i="1" s="1"/>
  <c r="T19" i="1"/>
  <c r="V19" i="1" s="1"/>
  <c r="T52" i="1"/>
  <c r="V52" i="1" s="1"/>
  <c r="T28" i="1"/>
  <c r="V28" i="1" s="1"/>
  <c r="T51" i="1"/>
  <c r="V51" i="1" s="1"/>
  <c r="T36" i="1"/>
  <c r="V36" i="1" s="1"/>
  <c r="T46" i="1"/>
  <c r="V46" i="1" s="1"/>
  <c r="T53" i="1"/>
  <c r="V53" i="1" s="1"/>
  <c r="T26" i="1"/>
  <c r="V26" i="1" s="1"/>
  <c r="T41" i="1"/>
  <c r="V41" i="1" s="1"/>
  <c r="T39" i="1"/>
  <c r="V39" i="1" s="1"/>
  <c r="T31" i="1"/>
  <c r="V31" i="1" s="1"/>
  <c r="T32" i="1"/>
  <c r="V32" i="1" s="1"/>
  <c r="T44" i="1"/>
  <c r="V44" i="1" s="1"/>
  <c r="T48" i="1"/>
  <c r="V48" i="1" s="1"/>
  <c r="T57" i="1"/>
  <c r="V57" i="1" s="1"/>
  <c r="T30" i="1"/>
  <c r="V30" i="1" s="1"/>
  <c r="T8" i="1"/>
  <c r="V8" i="1" s="1"/>
  <c r="T18" i="1"/>
  <c r="V18" i="1" s="1"/>
  <c r="T38" i="1"/>
  <c r="V38" i="1" s="1"/>
  <c r="T33" i="1"/>
  <c r="V33" i="1" s="1"/>
  <c r="T40" i="1"/>
  <c r="V40" i="1" s="1"/>
  <c r="T50" i="1"/>
  <c r="V50" i="1" s="1"/>
</calcChain>
</file>

<file path=xl/sharedStrings.xml><?xml version="1.0" encoding="utf-8"?>
<sst xmlns="http://schemas.openxmlformats.org/spreadsheetml/2006/main" count="142" uniqueCount="77">
  <si>
    <t>Total nonfarm</t>
  </si>
  <si>
    <t>Total private sector</t>
  </si>
  <si>
    <t>Leisure and hospitality</t>
  </si>
  <si>
    <t>Retail</t>
  </si>
  <si>
    <t>Average of columns (1) and (2)</t>
  </si>
  <si>
    <t>Leisure, hospitality and retail as a share of total private sector employment</t>
  </si>
  <si>
    <t>Projected job loss as a share of total private sector employment</t>
  </si>
  <si>
    <t>UNITED STATES</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</si>
  <si>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</si>
  <si>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</si>
  <si>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</si>
  <si>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</si>
  <si>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</si>
  <si>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</si>
  <si>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</si>
  <si>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</si>
  <si>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</si>
  <si>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</si>
  <si>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</si>
  <si>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</si>
  <si>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</si>
  <si>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</si>
  <si>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</si>
  <si>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</si>
  <si>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</si>
  <si>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</si>
  <si>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</si>
  <si>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</si>
  <si>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</si>
  <si>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</si>
  <si>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</si>
  <si>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</si>
  <si>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</si>
  <si>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</si>
  <si>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</si>
  <si>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</si>
  <si>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</si>
  <si>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</si>
  <si>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</si>
  <si>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</si>
  <si>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</si>
  <si>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</si>
  <si>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</si>
  <si>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</si>
  <si>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</si>
  <si>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</si>
  <si>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</si>
  <si>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</si>
  <si>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</si>
  <si>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</si>
  <si>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</si>
  <si>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</si>
  <si>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</si>
  <si>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</si>
  <si>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</si>
  <si>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</si>
  <si>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</si>
  <si>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</si>
  <si>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</si>
  <si>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Source: Economic Policy Institute analysis of Bureau of Labor Statistics Current Employment annual 2019 data</t>
  </si>
  <si>
    <t>Leisure &amp; hosp. + retail</t>
  </si>
  <si>
    <t>State employment shares of national total</t>
  </si>
  <si>
    <t>Based on state share of total private employment</t>
  </si>
  <si>
    <t>Based on state share of leisure, hospitality, and retail employment</t>
  </si>
  <si>
    <t>(1)</t>
  </si>
  <si>
    <t>(2)</t>
  </si>
  <si>
    <t>(3)</t>
  </si>
  <si>
    <t>Enter projected national job loss estimate--&gt;</t>
  </si>
  <si>
    <t>Natural Resources and Mining</t>
  </si>
  <si>
    <t>Manufacturing</t>
  </si>
  <si>
    <t>2019 Annual Employment levels (in thousands)</t>
  </si>
  <si>
    <t xml:space="preserve">(a) Because of small sample size, separate employment data are not available for 'Natural Resources and Mining' and 'Construction' for this state. </t>
  </si>
  <si>
    <t>Enter how much weight to put on the distribution of each industry/sector across the states: ----&gt;</t>
  </si>
  <si>
    <t>Losses based on above weighting of industry distribution</t>
  </si>
  <si>
    <t>Total (should sum to 100%)</t>
  </si>
  <si>
    <t>Adjust weighting for state distribution</t>
  </si>
  <si>
    <t>EPI expects that job losses will be felt more heavily in leisure, hospitality, and retail. For this reason, our estimates distribute the projected national losses based upon the average of the distribution of all private sector jobs across the states and the distribution of all leisure, hospitality, and retail jobs across the states. However, some researchers have suggested that losses might also be concentrated in the natural resources and mining industry due to falling gas prices, and in manufacturing. This table allows you to "weight" how to factor in the intensity of employment in these sectors into the distribution of job losses across the states. For example, if you think losses will be just as concentrated in natural resources, mining, and manufacturing as in leisure and hospitality--and that these losses will be more concentrated than in all other industries--you might set the "total private sector weight to 40%, the leisure, hosp, and retail weight to 20%, the nat. resources and mining weight to 20% and the manufacturing weight to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</si>
</sst>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
    <numFmt numFmtId="165" formatCode="0.0%"/>
    <numFmt numFmtId="166" formatCode="#0.0"/>
  </numFmts>
  <fonts count="11" x14ac:knownFonts="1">
    <font>
      <sz val="11"/>
      <color theme="1"/>
      <name val="Calibri"/>
      <family val="2"/>
      <scheme val="minor"/>
    </font>
    <font>
      <sz val="11"/>
      <color theme="1"/>
      <name val="Calibri"/>
      <family val="2"/>
      <scheme val="minor"/>
    </font>
    <font>
      <sz val="10"/>
      <name val="Arial"/>
      <family val="2"/>
    </font>
    <font>
      <sz val="12"/>
      <name val="Arial"/>
      <family val="2"/>
    </font>
    <font>
      <sz val="11"/>
      <color indexed="8"/>
      <name val="Calibri"/>
      <family val="2"/>
      <scheme val="minor"/>
    </font>
    <font>
      <b/>
      <sz val="10"/>
      <name val="Arial"/>
      <family val="2"/>
    </font>
    <font>
      <sz val="10"/>
      <color indexed="8"/>
      <name val="Arial"/>
      <family val="2"/>
    </font>
    <font>
      <b/>
      <sz val="11"/>
      <name val="Arial"/>
      <family val="2"/>
    </font>
    <font>
      <b/>
      <sz val="11"/>
      <color indexed="8"/>
      <name val="Calibri"/>
      <family val="2"/>
      <scheme val="minor"/>
    </font>
    <font>
      <b/>
      <sz val="10"/>
      <color indexed="8"/>
      <name val="Arial"/>
      <family val="2"/>
    </font>
    <font>
      <b/>
      <sz val="10"/>
      <color rgb="FF000000"/>
      <name val="Arial"/>
      <family val="2"/>
    </font>
  </fonts>
  <fills count="5">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5" tint="0.59999389629810485"/>
        <bgColor indexed="64"/>
      </patternFill>
    </fill>
  </fills>
  <borders count="19">
    <border>
      <left/>
      <right/>
      <top/>
      <bottom/>
      <diagonal/>
    </border>
    <border>
      <left/>
      <right/>
      <top/>
      <bottom style="thin">
        <color indexed="64"/>
      </bottom>
      <diagonal/>
    </border>
    <border>
      <left style="dashed">
        <color auto="1"/>
      </left>
      <right/>
      <top/>
      <bottom/>
      <diagonal/>
    </border>
    <border>
      <left/>
      <right style="dashed">
        <color auto="1"/>
      </right>
      <top/>
      <bottom/>
      <diagonal/>
    </border>
    <border>
      <left style="dashed">
        <color auto="1"/>
      </left>
      <right/>
      <top/>
      <bottom style="thin">
        <color indexed="64"/>
      </bottom>
      <diagonal/>
    </border>
    <border>
      <left/>
      <right style="dashed">
        <color auto="1"/>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dashed">
        <color auto="1"/>
      </right>
      <top style="medium">
        <color indexed="64"/>
      </top>
      <bottom style="thin">
        <color indexed="64"/>
      </bottom>
      <diagonal/>
    </border>
    <border>
      <left/>
      <right style="medium">
        <color indexed="64"/>
      </right>
      <top style="medium">
        <color indexed="64"/>
      </top>
      <bottom style="thin">
        <color indexed="64"/>
      </bottom>
      <diagonal/>
    </border>
    <border>
      <left/>
      <right style="dashed">
        <color auto="1"/>
      </right>
      <top/>
      <bottom style="medium">
        <color indexed="64"/>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4" fillId="0" borderId="0">
      <alignment wrapText="1"/>
    </xf>
    <xf numFmtId="43" fontId="2" fillId="0" borderId="0" applyFont="0" applyFill="0" applyBorder="0" applyAlignment="0" applyProtection="0"/>
    <xf numFmtId="0" fontId="4" fillId="0" borderId="0"/>
  </cellStyleXfs>
  <cellXfs count="87">
    <xf numFmtId="0" fontId="0" fillId="0" borderId="0" xfId="0"/>
    <xf numFmtId="0" fontId="3" fillId="0" borderId="0" xfId="3" applyFont="1" applyAlignment="1">
      <alignment vertical="center"/>
    </xf>
    <xf numFmtId="0" fontId="2" fillId="0" borderId="0" xfId="3"/>
    <xf numFmtId="0" fontId="4" fillId="0" borderId="0" xfId="4" applyAlignment="1"/>
    <xf numFmtId="0" fontId="2" fillId="0" borderId="0" xfId="3" applyFill="1"/>
    <xf numFmtId="3" fontId="5" fillId="0" borderId="1" xfId="5" applyNumberFormat="1" applyFont="1" applyFill="1" applyBorder="1"/>
    <xf numFmtId="3" fontId="2" fillId="0" borderId="1" xfId="3" applyNumberFormat="1" applyBorder="1"/>
    <xf numFmtId="43" fontId="2" fillId="0" borderId="0" xfId="5" applyFont="1" applyFill="1"/>
    <xf numFmtId="0" fontId="2" fillId="0" borderId="0" xfId="3" applyBorder="1"/>
    <xf numFmtId="43" fontId="2" fillId="0" borderId="0" xfId="5" applyFont="1" applyFill="1" applyBorder="1"/>
    <xf numFmtId="0" fontId="2" fillId="0" borderId="0" xfId="3" applyAlignment="1"/>
    <xf numFmtId="43" fontId="2" fillId="0" borderId="1" xfId="5" applyFont="1" applyFill="1" applyBorder="1"/>
    <xf numFmtId="0" fontId="5" fillId="0" borderId="0" xfId="3" applyFont="1" applyAlignment="1">
      <alignment wrapText="1"/>
    </xf>
    <xf numFmtId="0" fontId="5" fillId="0" borderId="0" xfId="3" applyFont="1" applyAlignment="1"/>
    <xf numFmtId="37" fontId="7" fillId="2" borderId="0" xfId="1" applyNumberFormat="1" applyFont="1" applyFill="1" applyAlignment="1">
      <alignment horizontal="center" vertical="center"/>
    </xf>
    <xf numFmtId="17" fontId="5" fillId="0" borderId="2" xfId="3" applyNumberFormat="1" applyFont="1" applyFill="1" applyBorder="1" applyAlignment="1">
      <alignment horizontal="center" wrapText="1"/>
    </xf>
    <xf numFmtId="0" fontId="5" fillId="0" borderId="0" xfId="3" applyFont="1" applyBorder="1" applyAlignment="1">
      <alignment horizontal="center" wrapText="1"/>
    </xf>
    <xf numFmtId="0" fontId="5" fillId="0" borderId="3" xfId="3" applyFont="1" applyBorder="1" applyAlignment="1">
      <alignment horizontal="center" wrapText="1"/>
    </xf>
    <xf numFmtId="165" fontId="2" fillId="0" borderId="2" xfId="2" applyNumberFormat="1" applyFont="1" applyBorder="1" applyAlignment="1">
      <alignment horizontal="center"/>
    </xf>
    <xf numFmtId="165" fontId="2" fillId="0" borderId="0" xfId="2" applyNumberFormat="1" applyFont="1" applyBorder="1" applyAlignment="1">
      <alignment horizontal="center"/>
    </xf>
    <xf numFmtId="165" fontId="2" fillId="0" borderId="3" xfId="2" applyNumberFormat="1" applyFont="1" applyBorder="1" applyAlignment="1">
      <alignment horizontal="center"/>
    </xf>
    <xf numFmtId="3" fontId="2" fillId="0" borderId="3" xfId="3" applyNumberFormat="1" applyBorder="1" applyAlignment="1">
      <alignment horizontal="center"/>
    </xf>
    <xf numFmtId="166" fontId="6" fillId="0" borderId="2" xfId="6" applyNumberFormat="1" applyFont="1" applyFill="1" applyBorder="1" applyAlignment="1">
      <alignment horizontal="center"/>
    </xf>
    <xf numFmtId="166" fontId="6" fillId="0" borderId="0" xfId="6" applyNumberFormat="1" applyFont="1" applyFill="1" applyBorder="1" applyAlignment="1">
      <alignment horizontal="center"/>
    </xf>
    <xf numFmtId="0" fontId="5" fillId="0" borderId="2" xfId="3" applyFont="1" applyBorder="1" applyAlignment="1">
      <alignment horizontal="center" wrapText="1"/>
    </xf>
    <xf numFmtId="3" fontId="2" fillId="0" borderId="0" xfId="3" applyNumberFormat="1" applyBorder="1" applyAlignment="1">
      <alignment horizontal="center"/>
    </xf>
    <xf numFmtId="164" fontId="9" fillId="0" borderId="4" xfId="3" applyNumberFormat="1" applyFont="1" applyFill="1" applyBorder="1" applyAlignment="1">
      <alignment horizontal="center"/>
    </xf>
    <xf numFmtId="3" fontId="5" fillId="0" borderId="1" xfId="3" applyNumberFormat="1" applyFont="1" applyBorder="1" applyAlignment="1">
      <alignment horizontal="center"/>
    </xf>
    <xf numFmtId="0" fontId="10" fillId="0" borderId="1" xfId="0" applyFont="1" applyBorder="1" applyAlignment="1">
      <alignment horizontal="center"/>
    </xf>
    <xf numFmtId="3" fontId="5" fillId="0" borderId="1" xfId="3" applyNumberFormat="1" applyFont="1" applyBorder="1"/>
    <xf numFmtId="3" fontId="5" fillId="0" borderId="5" xfId="3" applyNumberFormat="1" applyFont="1" applyBorder="1" applyAlignment="1">
      <alignment horizontal="center"/>
    </xf>
    <xf numFmtId="165" fontId="5" fillId="0" borderId="4" xfId="2" applyNumberFormat="1" applyFont="1" applyBorder="1" applyAlignment="1">
      <alignment horizontal="center"/>
    </xf>
    <xf numFmtId="165" fontId="5" fillId="0" borderId="1" xfId="2" applyNumberFormat="1" applyFont="1" applyBorder="1" applyAlignment="1">
      <alignment horizontal="center"/>
    </xf>
    <xf numFmtId="165" fontId="5" fillId="0" borderId="5" xfId="2" applyNumberFormat="1" applyFont="1" applyBorder="1" applyAlignment="1">
      <alignment horizontal="center"/>
    </xf>
    <xf numFmtId="3" fontId="5" fillId="0" borderId="4" xfId="3" applyNumberFormat="1" applyFont="1" applyBorder="1" applyAlignment="1">
      <alignment horizontal="center"/>
    </xf>
    <xf numFmtId="0" fontId="8" fillId="0" borderId="2" xfId="4" applyFont="1" applyBorder="1" applyAlignment="1">
      <alignment horizontal="center"/>
    </xf>
    <xf numFmtId="0" fontId="8" fillId="0" borderId="0" xfId="4" applyFont="1" applyBorder="1" applyAlignment="1">
      <alignment horizontal="center"/>
    </xf>
    <xf numFmtId="0" fontId="8" fillId="0" borderId="3" xfId="4" applyFont="1" applyBorder="1" applyAlignment="1">
      <alignment horizontal="center"/>
    </xf>
    <xf numFmtId="0" fontId="5" fillId="0" borderId="2" xfId="3" applyFont="1" applyBorder="1" applyAlignment="1">
      <alignment horizontal="center"/>
    </xf>
    <xf numFmtId="0" fontId="5" fillId="0" borderId="0" xfId="3" applyFont="1" applyBorder="1" applyAlignment="1">
      <alignment horizontal="center"/>
    </xf>
    <xf numFmtId="0" fontId="5" fillId="0" borderId="3" xfId="3" applyFont="1" applyBorder="1" applyAlignment="1">
      <alignment horizontal="center"/>
    </xf>
    <xf numFmtId="49" fontId="5" fillId="0" borderId="2" xfId="3" applyNumberFormat="1" applyFont="1" applyBorder="1" applyAlignment="1">
      <alignment horizontal="center"/>
    </xf>
    <xf numFmtId="49" fontId="5" fillId="0" borderId="0" xfId="3" applyNumberFormat="1" applyFont="1" applyBorder="1" applyAlignment="1">
      <alignment horizontal="center"/>
    </xf>
    <xf numFmtId="3" fontId="2" fillId="0" borderId="2" xfId="1" applyNumberFormat="1" applyFont="1" applyBorder="1" applyAlignment="1">
      <alignment horizontal="center"/>
    </xf>
    <xf numFmtId="3" fontId="2" fillId="0" borderId="0" xfId="1" applyNumberFormat="1" applyFont="1" applyBorder="1" applyAlignment="1">
      <alignment horizontal="center"/>
    </xf>
    <xf numFmtId="0" fontId="7" fillId="0" borderId="0" xfId="3" applyFont="1" applyAlignment="1">
      <alignment horizontal="center" wrapText="1"/>
    </xf>
    <xf numFmtId="0" fontId="5" fillId="0" borderId="2" xfId="3" applyFont="1" applyBorder="1" applyAlignment="1">
      <alignment horizontal="center"/>
    </xf>
    <xf numFmtId="0" fontId="5" fillId="0" borderId="0" xfId="3" applyFont="1" applyBorder="1" applyAlignment="1">
      <alignment horizontal="center"/>
    </xf>
    <xf numFmtId="0" fontId="5" fillId="0" borderId="3" xfId="3" applyFont="1" applyBorder="1" applyAlignment="1">
      <alignment horizontal="center"/>
    </xf>
    <xf numFmtId="0" fontId="8" fillId="0" borderId="2" xfId="4" applyFont="1" applyBorder="1" applyAlignment="1">
      <alignment horizontal="center"/>
    </xf>
    <xf numFmtId="0" fontId="8" fillId="0" borderId="0" xfId="4" applyFont="1" applyBorder="1" applyAlignment="1">
      <alignment horizontal="center"/>
    </xf>
    <xf numFmtId="0" fontId="8" fillId="0" borderId="3" xfId="4" applyFont="1" applyBorder="1" applyAlignment="1">
      <alignment horizontal="center"/>
    </xf>
    <xf numFmtId="0" fontId="5" fillId="0" borderId="0" xfId="0" applyFont="1" applyAlignment="1">
      <alignment horizontal="center" wrapText="1"/>
    </xf>
    <xf numFmtId="0" fontId="5" fillId="3" borderId="0" xfId="3" applyFont="1" applyFill="1" applyBorder="1" applyAlignment="1">
      <alignment horizontal="center" wrapText="1"/>
    </xf>
    <xf numFmtId="165" fontId="5" fillId="3" borderId="1" xfId="2" applyNumberFormat="1" applyFont="1" applyFill="1" applyBorder="1" applyAlignment="1">
      <alignment horizontal="center"/>
    </xf>
    <xf numFmtId="165" fontId="2" fillId="3" borderId="0" xfId="2" applyNumberFormat="1" applyFont="1" applyFill="1" applyBorder="1" applyAlignment="1">
      <alignment horizontal="center"/>
    </xf>
    <xf numFmtId="0" fontId="5" fillId="3" borderId="3" xfId="3" applyFont="1" applyFill="1" applyBorder="1" applyAlignment="1">
      <alignment horizontal="center" wrapText="1"/>
    </xf>
    <xf numFmtId="165" fontId="5" fillId="3" borderId="5" xfId="2" applyNumberFormat="1" applyFont="1" applyFill="1" applyBorder="1" applyAlignment="1">
      <alignment horizontal="center"/>
    </xf>
    <xf numFmtId="165" fontId="2" fillId="3" borderId="3" xfId="2" applyNumberFormat="1" applyFont="1" applyFill="1" applyBorder="1" applyAlignment="1">
      <alignment horizontal="center"/>
    </xf>
    <xf numFmtId="0" fontId="5" fillId="0" borderId="6" xfId="3" applyFont="1" applyBorder="1" applyAlignment="1">
      <alignment horizontal="center"/>
    </xf>
    <xf numFmtId="0" fontId="5" fillId="0" borderId="7" xfId="3" applyFont="1" applyBorder="1" applyAlignment="1">
      <alignment horizontal="center"/>
    </xf>
    <xf numFmtId="0" fontId="5" fillId="0" borderId="8" xfId="3" applyFont="1" applyBorder="1" applyAlignment="1">
      <alignment horizontal="center"/>
    </xf>
    <xf numFmtId="0" fontId="2" fillId="0" borderId="9" xfId="3" applyBorder="1"/>
    <xf numFmtId="0" fontId="2" fillId="0" borderId="10" xfId="3" applyBorder="1"/>
    <xf numFmtId="0" fontId="5" fillId="0" borderId="0" xfId="3" applyFont="1" applyBorder="1" applyAlignment="1">
      <alignment wrapText="1"/>
    </xf>
    <xf numFmtId="3" fontId="5" fillId="0" borderId="11" xfId="5" applyNumberFormat="1" applyFont="1" applyFill="1" applyBorder="1"/>
    <xf numFmtId="43" fontId="2" fillId="0" borderId="9" xfId="5" applyFont="1" applyFill="1" applyBorder="1"/>
    <xf numFmtId="43" fontId="2" fillId="0" borderId="12" xfId="5" applyFont="1" applyFill="1" applyBorder="1"/>
    <xf numFmtId="3" fontId="2" fillId="0" borderId="13" xfId="3" applyNumberFormat="1" applyBorder="1" applyAlignment="1">
      <alignment horizontal="center"/>
    </xf>
    <xf numFmtId="0" fontId="2" fillId="0" borderId="13" xfId="3" applyBorder="1"/>
    <xf numFmtId="0" fontId="2" fillId="0" borderId="14" xfId="3" applyBorder="1"/>
    <xf numFmtId="0" fontId="5" fillId="2" borderId="6" xfId="3" applyFont="1" applyFill="1" applyBorder="1" applyAlignment="1">
      <alignment horizontal="left" wrapText="1"/>
    </xf>
    <xf numFmtId="0" fontId="5" fillId="3" borderId="15" xfId="3" applyFont="1" applyFill="1" applyBorder="1" applyAlignment="1">
      <alignment horizontal="center" wrapText="1"/>
    </xf>
    <xf numFmtId="0" fontId="5" fillId="0" borderId="15" xfId="3" applyFont="1" applyBorder="1" applyAlignment="1">
      <alignment horizontal="center" wrapText="1"/>
    </xf>
    <xf numFmtId="0" fontId="5" fillId="3" borderId="16" xfId="3" applyFont="1" applyFill="1" applyBorder="1" applyAlignment="1">
      <alignment horizontal="center" wrapText="1"/>
    </xf>
    <xf numFmtId="0" fontId="5" fillId="0" borderId="15" xfId="0" applyFont="1" applyBorder="1" applyAlignment="1">
      <alignment horizontal="center" wrapText="1"/>
    </xf>
    <xf numFmtId="0" fontId="5" fillId="4" borderId="17" xfId="3" applyFont="1" applyFill="1" applyBorder="1" applyAlignment="1">
      <alignment horizontal="center" wrapText="1"/>
    </xf>
    <xf numFmtId="0" fontId="5" fillId="2" borderId="12" xfId="3" applyFont="1" applyFill="1" applyBorder="1" applyAlignment="1">
      <alignment horizontal="left" wrapText="1"/>
    </xf>
    <xf numFmtId="9" fontId="5" fillId="0" borderId="13" xfId="3" applyNumberFormat="1" applyFont="1" applyBorder="1" applyAlignment="1">
      <alignment horizontal="center"/>
    </xf>
    <xf numFmtId="9" fontId="5" fillId="0" borderId="18" xfId="3" applyNumberFormat="1" applyFont="1" applyBorder="1" applyAlignment="1">
      <alignment horizontal="center"/>
    </xf>
    <xf numFmtId="9" fontId="2" fillId="4" borderId="14" xfId="3" applyNumberFormat="1" applyFill="1" applyBorder="1" applyAlignment="1">
      <alignment horizontal="center"/>
    </xf>
    <xf numFmtId="3" fontId="5" fillId="3" borderId="1" xfId="3" applyNumberFormat="1" applyFont="1" applyFill="1" applyBorder="1" applyAlignment="1">
      <alignment horizontal="center"/>
    </xf>
    <xf numFmtId="3" fontId="2" fillId="3" borderId="0" xfId="3" applyNumberFormat="1" applyFill="1" applyBorder="1" applyAlignment="1">
      <alignment horizontal="center"/>
    </xf>
    <xf numFmtId="0" fontId="2" fillId="0" borderId="0" xfId="3" applyBorder="1" applyAlignment="1">
      <alignment horizontal="left" wrapText="1"/>
    </xf>
    <xf numFmtId="0" fontId="2" fillId="0" borderId="10" xfId="3" applyBorder="1" applyAlignment="1">
      <alignment horizontal="left" wrapText="1"/>
    </xf>
    <xf numFmtId="0" fontId="2" fillId="0" borderId="0" xfId="3" applyBorder="1" applyAlignment="1">
      <alignment wrapText="1"/>
    </xf>
    <xf numFmtId="0" fontId="2" fillId="0" borderId="10" xfId="3" applyBorder="1" applyAlignment="1">
      <alignment wrapText="1"/>
    </xf>
  </cellXfs>
  <cellStyles count="7">
    <cellStyle name="Comma" xfId="1" builtinId="3"/>
    <cellStyle name="Comma 2" xfId="5" xr:uid="{00000000-0005-0000-0000-000001000000}"/>
    <cellStyle name="Normal" xfId="0" builtinId="0"/>
    <cellStyle name="Normal 2" xfId="3" xr:uid="{00000000-0005-0000-0000-000003000000}"/>
    <cellStyle name="Normal 3" xfId="6" xr:uid="{00000000-0005-0000-0000-000004000000}"/>
    <cellStyle name="Percent" xfId="2" builtinId="5"/>
    <cellStyle name="XLConnect.Numeric" xfId="4" xr:uid="{00000000-0005-0000-0000-000006000000}"/>
  </cellStyles>
  <dxfs count="6">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HE%20DATA/States/Current%20month%20Jobwatch%20workbook/JobWatch%20December_2020/JobWatch%20December_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HE%20DATA/States/JobWatch%20May%20201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HE%20DATA/States/SWX/SWXX20/SWXX%202020--job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Headline"/>
      <sheetName val="JOBS DEFICIT"/>
      <sheetName val="S&amp;L JOBS DEFICIT"/>
      <sheetName val="Chart3"/>
      <sheetName val="Chart4"/>
      <sheetName val="Rankings"/>
      <sheetName val="Job Numbers "/>
      <sheetName val="Unemployment Rate "/>
      <sheetName val="Recent Trends"/>
      <sheetName val="Jobs v Population Growth"/>
      <sheetName val="5 year pop growth"/>
      <sheetName val="Mfg Job Numbers "/>
      <sheetName val="Const Job Numbers"/>
      <sheetName val="Labor force"/>
      <sheetName val="Industry trends"/>
      <sheetName val="LF - Unemployment rate"/>
      <sheetName val="LF - Labor force level"/>
      <sheetName val="Jobs - Total nonfarm"/>
      <sheetName val="Jobs - Construction"/>
      <sheetName val="Jobs - Manufacturing"/>
      <sheetName val="Jobs - Trade, trans, util"/>
      <sheetName val="Jobs - Financial"/>
      <sheetName val="Jobs - Prof bus services"/>
      <sheetName val="Jobs - Ed and health"/>
      <sheetName val="Jobs - Leisure hospitality"/>
      <sheetName val="Data - Monthly pop hist"/>
      <sheetName val="Data - Population age 20-64"/>
      <sheetName val="Data - Q pop growth"/>
      <sheetName val="Jobs - Total Government"/>
      <sheetName val="Jobs - State"/>
      <sheetName val="Jobs - Local"/>
      <sheetName val="Jobs - State &amp; Local"/>
      <sheetName val="US scratch sheetSL"/>
      <sheetName val="scratch sheetSL"/>
      <sheetName val="US scratch sheet"/>
      <sheetName val="scratch sheet"/>
      <sheetName val="Data - Monthly population"/>
      <sheetName val="Data - Monthly population (2)"/>
      <sheetName val="Data - Population %growth"/>
      <sheetName val="Data - Population %growth2"/>
      <sheetName val="Reference Sheet"/>
    </sheetNames>
    <sheetDataSet>
      <sheetData sheetId="0"/>
      <sheetData sheetId="1"/>
      <sheetData sheetId="2"/>
      <sheetData sheetId="3"/>
      <sheetData sheetId="4" refreshError="1"/>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ow r="2">
          <cell r="I2">
            <v>43831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 scratch sheetSL"/>
      <sheetName val="scratch sheetSL"/>
      <sheetName val="US scratch sheet"/>
      <sheetName val="scratch sheet"/>
      <sheetName val="Table of Contents"/>
      <sheetName val="Headline"/>
      <sheetName val="JOBS DEFICIT"/>
      <sheetName val="S&amp;L JOBS DEFICIT"/>
      <sheetName val="ppt urate chart"/>
      <sheetName val="job loss chart"/>
      <sheetName val="Rankings"/>
      <sheetName val="Recent Trends"/>
      <sheetName val="Unemployment Rate "/>
      <sheetName val="Job Numbers "/>
      <sheetName val="Jobs v Population Growth"/>
      <sheetName val="5 year pop growth"/>
      <sheetName val="Mfg Job Numbers "/>
      <sheetName val="Const Job Numbers"/>
      <sheetName val="Labor force"/>
      <sheetName val="LF - Unemployment rate"/>
      <sheetName val="LF - Labor force level"/>
      <sheetName val="Jobs - Total nonfarm"/>
      <sheetName val="Jobs - Construction"/>
      <sheetName val="Jobs - Manufacturing"/>
      <sheetName val="Jobs - Trade, trans, util"/>
      <sheetName val="Jobs - Financial"/>
      <sheetName val="Jobs - Prof bus services"/>
      <sheetName val="Jobs - Ed and health"/>
      <sheetName val="Jobs - Leisure hospitality"/>
      <sheetName val="Data - Monthly pop hist"/>
      <sheetName val="Data - Population age 20-64"/>
      <sheetName val="Data - Q pop growth"/>
      <sheetName val="Jobs - Total Government"/>
      <sheetName val="Jobs - State"/>
      <sheetName val="Jobs - Local"/>
      <sheetName val="Jobs - State &amp; Local"/>
      <sheetName val="Data - Monthly population (2)"/>
      <sheetName val="Data - Monthly population"/>
      <sheetName val="Data - Population %growth"/>
      <sheetName val="Data - Population %growth2"/>
      <sheetName val="Reference Sheet"/>
    </sheetNames>
    <sheetDataSet>
      <sheetData sheetId="0"/>
      <sheetData sheetId="1"/>
      <sheetData sheetId="2"/>
      <sheetData sheetId="3"/>
      <sheetData sheetId="4"/>
      <sheetData sheetId="5"/>
      <sheetData sheetId="6"/>
      <sheetData sheetId="7"/>
      <sheetData sheetId="8" refreshError="1"/>
      <sheetData sheetId="9" refreshError="1"/>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2">
          <cell r="I2">
            <v>42491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s_and_manu_2019"/>
      <sheetName val="gjskl"/>
      <sheetName val="Make Jobs Tables"/>
      <sheetName val="EXAMPLE 1"/>
      <sheetName val="EXAMPLE 2"/>
      <sheetName val="Jobs"/>
      <sheetName val="state lists"/>
    </sheetNames>
    <sheetDataSet>
      <sheetData sheetId="0">
        <row r="6">
          <cell r="A6" t="str">
            <v>UNITED STATES</v>
          </cell>
          <cell r="B6">
            <v>735</v>
          </cell>
          <cell r="C6">
            <v>12839</v>
          </cell>
        </row>
        <row r="8">
          <cell r="A8" t="str">
            <v>Alabama</v>
          </cell>
          <cell r="B8">
            <v>10.1</v>
          </cell>
          <cell r="C8">
            <v>268.60000000000002</v>
          </cell>
        </row>
        <row r="9">
          <cell r="A9" t="str">
            <v>Alaska</v>
          </cell>
          <cell r="B9">
            <v>13.3</v>
          </cell>
          <cell r="C9">
            <v>12.8</v>
          </cell>
        </row>
        <row r="10">
          <cell r="A10" t="str">
            <v>Arizona</v>
          </cell>
          <cell r="B10">
            <v>13.5</v>
          </cell>
          <cell r="C10">
            <v>177.3</v>
          </cell>
        </row>
        <row r="11">
          <cell r="A11" t="str">
            <v>Arkansas</v>
          </cell>
          <cell r="B11">
            <v>5.9</v>
          </cell>
          <cell r="C11">
            <v>162.4</v>
          </cell>
        </row>
        <row r="12">
          <cell r="A12" t="str">
            <v>California</v>
          </cell>
          <cell r="B12">
            <v>22.5</v>
          </cell>
          <cell r="C12">
            <v>1322.5</v>
          </cell>
        </row>
        <row r="13">
          <cell r="A13" t="str">
            <v>Colorado</v>
          </cell>
          <cell r="B13">
            <v>28.9</v>
          </cell>
          <cell r="C13">
            <v>150.1</v>
          </cell>
        </row>
        <row r="14">
          <cell r="A14" t="str">
            <v>Connecticut</v>
          </cell>
          <cell r="B14">
            <v>0.5</v>
          </cell>
          <cell r="C14">
            <v>162</v>
          </cell>
        </row>
        <row r="15">
          <cell r="A15" t="str">
            <v>Delaware</v>
          </cell>
          <cell r="B15" t="str">
            <v>(a)</v>
          </cell>
          <cell r="C15">
            <v>27.3</v>
          </cell>
        </row>
        <row r="16">
          <cell r="A16" t="str">
            <v>District of Columbia</v>
          </cell>
          <cell r="B16" t="str">
            <v>(a)</v>
          </cell>
          <cell r="C16">
            <v>1.4</v>
          </cell>
        </row>
        <row r="17">
          <cell r="A17" t="str">
            <v>Florida</v>
          </cell>
          <cell r="B17">
            <v>5.7</v>
          </cell>
          <cell r="C17">
            <v>384.5</v>
          </cell>
        </row>
        <row r="18">
          <cell r="A18" t="str">
            <v>Georgia</v>
          </cell>
          <cell r="B18">
            <v>9.4</v>
          </cell>
          <cell r="C18">
            <v>406.1</v>
          </cell>
        </row>
        <row r="19">
          <cell r="A19" t="str">
            <v>Hawaii</v>
          </cell>
          <cell r="B19" t="str">
            <v>(a)</v>
          </cell>
          <cell r="C19">
            <v>14</v>
          </cell>
        </row>
        <row r="20">
          <cell r="A20" t="str">
            <v>Idaho</v>
          </cell>
          <cell r="B20">
            <v>3.7</v>
          </cell>
          <cell r="C20">
            <v>68.599999999999994</v>
          </cell>
        </row>
        <row r="21">
          <cell r="A21" t="str">
            <v>Illinois</v>
          </cell>
          <cell r="B21">
            <v>8.3000000000000007</v>
          </cell>
          <cell r="C21">
            <v>585.5</v>
          </cell>
        </row>
        <row r="22">
          <cell r="A22" t="str">
            <v>Indiana</v>
          </cell>
          <cell r="B22">
            <v>6</v>
          </cell>
          <cell r="C22">
            <v>541.79999999999995</v>
          </cell>
        </row>
        <row r="23">
          <cell r="A23" t="str">
            <v>Iowa</v>
          </cell>
          <cell r="B23">
            <v>2.5</v>
          </cell>
          <cell r="C23">
            <v>226.1</v>
          </cell>
        </row>
        <row r="24">
          <cell r="A24" t="str">
            <v>Kansas</v>
          </cell>
          <cell r="B24">
            <v>6.8</v>
          </cell>
          <cell r="C24">
            <v>167.1</v>
          </cell>
        </row>
        <row r="25">
          <cell r="A25" t="str">
            <v>Kentucky</v>
          </cell>
          <cell r="B25">
            <v>10</v>
          </cell>
          <cell r="C25">
            <v>252.1</v>
          </cell>
        </row>
        <row r="26">
          <cell r="A26" t="str">
            <v>Louisiana</v>
          </cell>
          <cell r="B26">
            <v>36.9</v>
          </cell>
          <cell r="C26">
            <v>137.5</v>
          </cell>
        </row>
        <row r="27">
          <cell r="A27" t="str">
            <v>Maine</v>
          </cell>
          <cell r="B27">
            <v>2.2000000000000002</v>
          </cell>
          <cell r="C27">
            <v>53.3</v>
          </cell>
        </row>
        <row r="28">
          <cell r="A28" t="str">
            <v>Maryland</v>
          </cell>
          <cell r="B28">
            <v>1.3</v>
          </cell>
          <cell r="C28">
            <v>112.9</v>
          </cell>
        </row>
        <row r="29">
          <cell r="A29" t="str">
            <v>Massachusetts</v>
          </cell>
          <cell r="B29">
            <v>1</v>
          </cell>
          <cell r="C29">
            <v>243.8</v>
          </cell>
        </row>
        <row r="30">
          <cell r="A30" t="str">
            <v>Michigan</v>
          </cell>
          <cell r="B30">
            <v>7.3</v>
          </cell>
          <cell r="C30">
            <v>627.20000000000005</v>
          </cell>
        </row>
        <row r="31">
          <cell r="A31" t="str">
            <v>Minnesota</v>
          </cell>
          <cell r="B31">
            <v>6.6</v>
          </cell>
          <cell r="C31">
            <v>323.8</v>
          </cell>
        </row>
        <row r="32">
          <cell r="A32" t="str">
            <v>Mississippi</v>
          </cell>
          <cell r="B32">
            <v>6.8</v>
          </cell>
          <cell r="C32">
            <v>147.1</v>
          </cell>
        </row>
        <row r="33">
          <cell r="A33" t="str">
            <v>Missouri</v>
          </cell>
          <cell r="B33">
            <v>4.4000000000000004</v>
          </cell>
          <cell r="C33">
            <v>277</v>
          </cell>
        </row>
        <row r="34">
          <cell r="A34" t="str">
            <v>Montana</v>
          </cell>
          <cell r="B34">
            <v>7.3</v>
          </cell>
          <cell r="C34">
            <v>20.9</v>
          </cell>
        </row>
        <row r="35">
          <cell r="A35" t="str">
            <v>Nebraska</v>
          </cell>
          <cell r="B35">
            <v>1</v>
          </cell>
          <cell r="C35">
            <v>99.7</v>
          </cell>
        </row>
        <row r="36">
          <cell r="A36" t="str">
            <v>Nevada</v>
          </cell>
          <cell r="B36">
            <v>14.7</v>
          </cell>
          <cell r="C36">
            <v>59.4</v>
          </cell>
        </row>
        <row r="37">
          <cell r="A37" t="str">
            <v>New Hampshire</v>
          </cell>
          <cell r="B37">
            <v>1</v>
          </cell>
          <cell r="C37">
            <v>71.5</v>
          </cell>
        </row>
        <row r="38">
          <cell r="A38" t="str">
            <v>New Jersey</v>
          </cell>
          <cell r="B38">
            <v>1.4</v>
          </cell>
          <cell r="C38">
            <v>251.5</v>
          </cell>
        </row>
        <row r="39">
          <cell r="A39" t="str">
            <v>New Mexico</v>
          </cell>
          <cell r="B39">
            <v>26.1</v>
          </cell>
          <cell r="C39">
            <v>28.5</v>
          </cell>
        </row>
        <row r="40">
          <cell r="A40" t="str">
            <v>New York</v>
          </cell>
          <cell r="B40">
            <v>5.3</v>
          </cell>
          <cell r="C40">
            <v>439.2</v>
          </cell>
        </row>
        <row r="41">
          <cell r="A41" t="str">
            <v>North Carolina</v>
          </cell>
          <cell r="B41">
            <v>5.7</v>
          </cell>
          <cell r="C41">
            <v>478.3</v>
          </cell>
        </row>
        <row r="42">
          <cell r="A42" t="str">
            <v>North Dakota</v>
          </cell>
          <cell r="B42">
            <v>21.3</v>
          </cell>
          <cell r="C42">
            <v>26.4</v>
          </cell>
        </row>
        <row r="43">
          <cell r="A43" t="str">
            <v>Ohio</v>
          </cell>
          <cell r="B43">
            <v>11.9</v>
          </cell>
          <cell r="C43">
            <v>701.4</v>
          </cell>
        </row>
        <row r="44">
          <cell r="A44" t="str">
            <v>Oklahoma</v>
          </cell>
          <cell r="B44">
            <v>48.7</v>
          </cell>
          <cell r="C44">
            <v>140.80000000000001</v>
          </cell>
        </row>
        <row r="45">
          <cell r="A45" t="str">
            <v>Oregon</v>
          </cell>
          <cell r="B45">
            <v>6.9</v>
          </cell>
          <cell r="C45">
            <v>197.7</v>
          </cell>
        </row>
        <row r="46">
          <cell r="A46" t="str">
            <v>Pennsylvania</v>
          </cell>
          <cell r="B46">
            <v>29.1</v>
          </cell>
          <cell r="C46">
            <v>575.4</v>
          </cell>
        </row>
        <row r="47">
          <cell r="A47" t="str">
            <v>Rhode Island</v>
          </cell>
          <cell r="B47">
            <v>0.3</v>
          </cell>
          <cell r="C47">
            <v>39.700000000000003</v>
          </cell>
        </row>
        <row r="48">
          <cell r="A48" t="str">
            <v>South Carolina</v>
          </cell>
          <cell r="B48">
            <v>4.4000000000000004</v>
          </cell>
          <cell r="C48">
            <v>258.2</v>
          </cell>
        </row>
        <row r="49">
          <cell r="A49" t="str">
            <v>South Dakota</v>
          </cell>
          <cell r="B49">
            <v>1</v>
          </cell>
          <cell r="C49">
            <v>44.8</v>
          </cell>
        </row>
        <row r="50">
          <cell r="A50" t="str">
            <v>Tennessee</v>
          </cell>
          <cell r="B50">
            <v>4.5</v>
          </cell>
          <cell r="C50">
            <v>355.1</v>
          </cell>
        </row>
        <row r="51">
          <cell r="A51" t="str">
            <v>Texas</v>
          </cell>
          <cell r="B51">
            <v>249.9</v>
          </cell>
          <cell r="C51">
            <v>906.6</v>
          </cell>
        </row>
        <row r="52">
          <cell r="A52" t="str">
            <v>Utah</v>
          </cell>
          <cell r="B52">
            <v>9.4</v>
          </cell>
          <cell r="C52">
            <v>136.6</v>
          </cell>
        </row>
        <row r="53">
          <cell r="A53" t="str">
            <v>Vermont</v>
          </cell>
          <cell r="B53">
            <v>0.8</v>
          </cell>
          <cell r="C53">
            <v>30</v>
          </cell>
        </row>
        <row r="54">
          <cell r="A54" t="str">
            <v>Virginia</v>
          </cell>
          <cell r="B54">
            <v>7.9</v>
          </cell>
          <cell r="C54">
            <v>243.4</v>
          </cell>
        </row>
        <row r="55">
          <cell r="A55" t="str">
            <v>Washington</v>
          </cell>
          <cell r="B55">
            <v>5.9</v>
          </cell>
          <cell r="C55">
            <v>293.5</v>
          </cell>
        </row>
        <row r="56">
          <cell r="A56" t="str">
            <v>West Virginia</v>
          </cell>
          <cell r="B56">
            <v>22.4</v>
          </cell>
          <cell r="C56">
            <v>47</v>
          </cell>
        </row>
        <row r="57">
          <cell r="A57" t="str">
            <v>Wisconsin</v>
          </cell>
          <cell r="B57">
            <v>4.2</v>
          </cell>
          <cell r="C57">
            <v>484.3</v>
          </cell>
        </row>
        <row r="58">
          <cell r="A58" t="str">
            <v>Wyoming</v>
          </cell>
          <cell r="B58">
            <v>20.8</v>
          </cell>
          <cell r="C58">
            <v>10.1</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22"/>
  </sheetPr>
  <dimension ref="A1:AE59"/>
  <sheetViews>
    <sheetView tabSelected="1" zoomScale="90" zoomScaleNormal="90" workbookViewId="0">
      <pane xSplit="1" ySplit="5" topLeftCell="T6" activePane="bottomRight" state="frozen"/>
      <selection activeCell="E29" sqref="E29"/>
      <selection pane="topRight" activeCell="E29" sqref="E29"/>
      <selection pane="bottomLeft" activeCell="E29" sqref="E29"/>
      <selection pane="bottomRight" activeCell="Y39" activeCellId="2" sqref="Y11 Y16 Y39"/>
    </sheetView>
  </sheetViews>
  <sheetFormatPr defaultColWidth="9.1328125" defaultRowHeight="12.75" x14ac:dyDescent="0.35"/>
  <cols>
    <col min="1" max="1" width="49.265625" style="2" bestFit="1" customWidth="1"/>
    <col min="2" max="2" width="10.59765625" style="2" customWidth="1"/>
    <col min="3" max="3" width="11.59765625" style="2" bestFit="1" customWidth="1"/>
    <col min="4" max="4" width="13.3984375" style="2" customWidth="1"/>
    <col min="5" max="5" width="9.1328125" style="2"/>
    <col min="6" max="8" width="10.59765625" style="2" customWidth="1"/>
    <col min="9" max="9" width="3.9296875" style="2" customWidth="1"/>
    <col min="10" max="11" width="9.1328125" style="2"/>
    <col min="12" max="12" width="10.19921875" style="2" customWidth="1"/>
    <col min="13" max="16" width="9.1328125" style="2"/>
    <col min="17" max="17" width="3" style="2" customWidth="1"/>
    <col min="18" max="18" width="13" style="2" customWidth="1"/>
    <col min="19" max="19" width="11.3984375" style="2" customWidth="1"/>
    <col min="20" max="20" width="17" style="2" bestFit="1" customWidth="1"/>
    <col min="21" max="21" width="11.73046875" style="2" bestFit="1" customWidth="1"/>
    <col min="22" max="22" width="12.73046875" style="2" customWidth="1"/>
    <col min="23" max="23" width="6.73046875" style="2" customWidth="1"/>
    <col min="24" max="24" width="21.46484375" style="2" customWidth="1"/>
    <col min="25" max="25" width="17.86328125" style="2" bestFit="1" customWidth="1"/>
    <col min="26" max="26" width="10.9296875" style="2" customWidth="1"/>
    <col min="27" max="28" width="9.1328125" style="2"/>
    <col min="29" max="29" width="9.9296875" style="2" customWidth="1"/>
    <col min="30" max="16384" width="9.1328125" style="2"/>
  </cols>
  <sheetData>
    <row r="1" spans="1:31" ht="12.75" customHeight="1" thickBot="1" x14ac:dyDescent="0.45">
      <c r="A1" s="1"/>
      <c r="X1" s="59" t="s">
        <v>75</v>
      </c>
      <c r="Y1" s="60"/>
      <c r="Z1" s="60"/>
      <c r="AA1" s="60"/>
      <c r="AB1" s="60"/>
      <c r="AC1" s="60"/>
      <c r="AD1" s="60"/>
      <c r="AE1" s="61"/>
    </row>
    <row r="2" spans="1:31" ht="53.65" customHeight="1" x14ac:dyDescent="0.45">
      <c r="A2" s="1"/>
      <c r="B2" s="3"/>
      <c r="R2" s="45" t="s">
        <v>67</v>
      </c>
      <c r="S2" s="45"/>
      <c r="T2" s="14">
        <v>14000000</v>
      </c>
      <c r="X2" s="71" t="s">
        <v>72</v>
      </c>
      <c r="Y2" s="72" t="s">
        <v>1</v>
      </c>
      <c r="Z2" s="73" t="s">
        <v>2</v>
      </c>
      <c r="AA2" s="73" t="s">
        <v>3</v>
      </c>
      <c r="AB2" s="74" t="s">
        <v>60</v>
      </c>
      <c r="AC2" s="75" t="s">
        <v>68</v>
      </c>
      <c r="AD2" s="75" t="s">
        <v>69</v>
      </c>
      <c r="AE2" s="76" t="s">
        <v>74</v>
      </c>
    </row>
    <row r="3" spans="1:31" ht="15" customHeight="1" thickBot="1" x14ac:dyDescent="0.5">
      <c r="A3" s="1"/>
      <c r="B3" s="49" t="s">
        <v>70</v>
      </c>
      <c r="C3" s="50"/>
      <c r="D3" s="50"/>
      <c r="E3" s="50"/>
      <c r="F3" s="51"/>
      <c r="G3" s="36"/>
      <c r="H3" s="36"/>
      <c r="J3" s="46" t="s">
        <v>61</v>
      </c>
      <c r="K3" s="47"/>
      <c r="L3" s="47"/>
      <c r="M3" s="47"/>
      <c r="N3" s="48"/>
      <c r="O3" s="39"/>
      <c r="P3" s="39"/>
      <c r="R3" s="46" t="str">
        <f>CONCATENATE("Projected job loss (",$T$2/1000000," million total)")</f>
        <v>Projected job loss (14 million total)</v>
      </c>
      <c r="S3" s="47"/>
      <c r="T3" s="47"/>
      <c r="U3" s="47"/>
      <c r="V3" s="48"/>
      <c r="W3" s="13"/>
      <c r="X3" s="77"/>
      <c r="Y3" s="78">
        <v>0.5</v>
      </c>
      <c r="Z3" s="78">
        <v>0</v>
      </c>
      <c r="AA3" s="78">
        <v>0</v>
      </c>
      <c r="AB3" s="79">
        <v>0.5</v>
      </c>
      <c r="AC3" s="78">
        <v>0</v>
      </c>
      <c r="AD3" s="78">
        <v>0</v>
      </c>
      <c r="AE3" s="80">
        <f>SUM(Y3:AD3)</f>
        <v>1</v>
      </c>
    </row>
    <row r="4" spans="1:31" ht="15" customHeight="1" x14ac:dyDescent="0.45">
      <c r="A4" s="1"/>
      <c r="B4" s="35"/>
      <c r="C4" s="36"/>
      <c r="D4" s="36"/>
      <c r="E4" s="36"/>
      <c r="F4" s="37"/>
      <c r="G4" s="36"/>
      <c r="H4" s="36"/>
      <c r="J4" s="38"/>
      <c r="R4" s="41" t="s">
        <v>64</v>
      </c>
      <c r="S4" s="41" t="s">
        <v>65</v>
      </c>
      <c r="T4" s="42" t="s">
        <v>66</v>
      </c>
      <c r="U4" s="39"/>
      <c r="V4" s="40"/>
      <c r="W4" s="13"/>
      <c r="X4" s="62"/>
      <c r="Y4" s="8"/>
      <c r="Z4" s="8"/>
      <c r="AA4" s="8"/>
      <c r="AB4" s="8"/>
      <c r="AC4" s="8"/>
      <c r="AD4" s="8"/>
      <c r="AE4" s="63"/>
    </row>
    <row r="5" spans="1:31" ht="105" x14ac:dyDescent="0.4">
      <c r="A5" s="4"/>
      <c r="B5" s="15" t="s">
        <v>0</v>
      </c>
      <c r="C5" s="16" t="s">
        <v>1</v>
      </c>
      <c r="D5" s="16" t="s">
        <v>2</v>
      </c>
      <c r="E5" s="16" t="s">
        <v>3</v>
      </c>
      <c r="F5" s="17" t="s">
        <v>60</v>
      </c>
      <c r="G5" s="52" t="s">
        <v>68</v>
      </c>
      <c r="H5" s="52" t="s">
        <v>69</v>
      </c>
      <c r="I5" s="12"/>
      <c r="J5" s="15" t="s">
        <v>0</v>
      </c>
      <c r="K5" s="53" t="s">
        <v>1</v>
      </c>
      <c r="L5" s="16" t="s">
        <v>2</v>
      </c>
      <c r="M5" s="16" t="s">
        <v>3</v>
      </c>
      <c r="N5" s="56" t="s">
        <v>60</v>
      </c>
      <c r="O5" s="52" t="s">
        <v>68</v>
      </c>
      <c r="P5" s="52" t="s">
        <v>69</v>
      </c>
      <c r="Q5" s="12"/>
      <c r="R5" s="24" t="s">
        <v>62</v>
      </c>
      <c r="S5" s="16" t="s">
        <v>63</v>
      </c>
      <c r="T5" s="53" t="s">
        <v>4</v>
      </c>
      <c r="U5" s="16" t="s">
        <v>5</v>
      </c>
      <c r="V5" s="17" t="s">
        <v>6</v>
      </c>
      <c r="W5" s="12"/>
      <c r="X5" s="62"/>
      <c r="Y5" s="64" t="s">
        <v>73</v>
      </c>
      <c r="Z5" s="8"/>
      <c r="AA5" s="85"/>
      <c r="AB5" s="85"/>
      <c r="AC5" s="85"/>
      <c r="AD5" s="85"/>
      <c r="AE5" s="86"/>
    </row>
    <row r="6" spans="1:31" s="6" customFormat="1" ht="13.15" x14ac:dyDescent="0.4">
      <c r="A6" s="5" t="s">
        <v>7</v>
      </c>
      <c r="B6" s="26">
        <v>150939</v>
      </c>
      <c r="C6" s="27">
        <v>128346</v>
      </c>
      <c r="D6" s="28">
        <v>16576</v>
      </c>
      <c r="E6" s="28">
        <v>15644</v>
      </c>
      <c r="F6" s="30">
        <f>SUM(D6:E6)</f>
        <v>32220</v>
      </c>
      <c r="G6" s="27">
        <f>VLOOKUP($A6,[3]gas_and_manu_2019!$A$6:$C$58,2,FALSE)</f>
        <v>735</v>
      </c>
      <c r="H6" s="27">
        <f>VLOOKUP($A6,[3]gas_and_manu_2019!$A$6:$C$58,3,FALSE)</f>
        <v>12839</v>
      </c>
      <c r="I6" s="29"/>
      <c r="J6" s="31">
        <f>B6/B$6</f>
        <v>1</v>
      </c>
      <c r="K6" s="54">
        <f>C6/C$6</f>
        <v>1</v>
      </c>
      <c r="L6" s="32">
        <f>D6/D$6</f>
        <v>1</v>
      </c>
      <c r="M6" s="32">
        <f>E6/E$6</f>
        <v>1</v>
      </c>
      <c r="N6" s="57">
        <f>F6/F$6</f>
        <v>1</v>
      </c>
      <c r="O6" s="33">
        <f t="shared" ref="O6:P6" si="0">G6/G$6</f>
        <v>1</v>
      </c>
      <c r="P6" s="33">
        <f t="shared" si="0"/>
        <v>1</v>
      </c>
      <c r="Q6" s="29"/>
      <c r="R6" s="34">
        <f>$T$2</f>
        <v>14000000</v>
      </c>
      <c r="S6" s="27">
        <f>$T$2</f>
        <v>14000000</v>
      </c>
      <c r="T6" s="81">
        <f>$T$2</f>
        <v>14000000</v>
      </c>
      <c r="U6" s="32">
        <f>$F6/$C6</f>
        <v>0.25104015707540556</v>
      </c>
      <c r="V6" s="33">
        <f t="shared" ref="V6:V37" si="1">T6/($C6*1000)</f>
        <v>0.10908014273915821</v>
      </c>
      <c r="X6" s="65" t="s">
        <v>7</v>
      </c>
      <c r="Y6" s="27">
        <f>$T$2</f>
        <v>14000000</v>
      </c>
      <c r="AA6" s="83" t="s">
        <v>76</v>
      </c>
      <c r="AB6" s="83"/>
      <c r="AC6" s="83"/>
      <c r="AD6" s="83"/>
      <c r="AE6" s="84"/>
    </row>
    <row r="7" spans="1:31" x14ac:dyDescent="0.35">
      <c r="A7" s="7" t="s">
        <v>8</v>
      </c>
      <c r="B7" s="22">
        <v>2072.6</v>
      </c>
      <c r="C7" s="23">
        <v>1680.8</v>
      </c>
      <c r="D7" s="23">
        <v>208.6</v>
      </c>
      <c r="E7" s="23">
        <v>230.6</v>
      </c>
      <c r="F7" s="21">
        <f t="shared" ref="F7:F57" si="2">SUM(D7:E7)</f>
        <v>439.2</v>
      </c>
      <c r="G7" s="25">
        <f>VLOOKUP($A7,[3]gas_and_manu_2019!$A$6:$C$58,2,FALSE)</f>
        <v>10.1</v>
      </c>
      <c r="H7" s="25">
        <f>VLOOKUP($A7,[3]gas_and_manu_2019!$A$6:$C$58,3,FALSE)</f>
        <v>268.60000000000002</v>
      </c>
      <c r="J7" s="18">
        <f>B7/B$6</f>
        <v>1.3731374926294728E-2</v>
      </c>
      <c r="K7" s="55">
        <f>C7/C$6</f>
        <v>1.3095850279712652E-2</v>
      </c>
      <c r="L7" s="19">
        <f>D7/D$6</f>
        <v>1.2584459459459459E-2</v>
      </c>
      <c r="M7" s="19">
        <f>E7/E$6</f>
        <v>1.4740475581692662E-2</v>
      </c>
      <c r="N7" s="58">
        <f>F7/F$6</f>
        <v>1.3631284916201117E-2</v>
      </c>
      <c r="O7" s="19">
        <f>G7/G$6</f>
        <v>1.3741496598639455E-2</v>
      </c>
      <c r="P7" s="20">
        <f>H7/H$6</f>
        <v>2.0920632448009971E-2</v>
      </c>
      <c r="Q7" s="8"/>
      <c r="R7" s="43">
        <f>R$6*$K7</f>
        <v>183341.90391597713</v>
      </c>
      <c r="S7" s="44">
        <f>S$6*$N7</f>
        <v>190837.98882681565</v>
      </c>
      <c r="T7" s="82">
        <f>AVERAGE(R7:S7)</f>
        <v>187089.94637139639</v>
      </c>
      <c r="U7" s="19">
        <f>$F7/$C7</f>
        <v>0.26130414088529269</v>
      </c>
      <c r="V7" s="20">
        <f t="shared" si="1"/>
        <v>0.11131005852653283</v>
      </c>
      <c r="X7" s="66" t="s">
        <v>8</v>
      </c>
      <c r="Y7" s="25">
        <f>$Y$6*SUMPRODUCT($Y$3:$AD$3,$K7:$P7)</f>
        <v>187089.94637139639</v>
      </c>
      <c r="Z7" s="8"/>
      <c r="AA7" s="83"/>
      <c r="AB7" s="83"/>
      <c r="AC7" s="83"/>
      <c r="AD7" s="83"/>
      <c r="AE7" s="84"/>
    </row>
    <row r="8" spans="1:31" x14ac:dyDescent="0.35">
      <c r="A8" s="7" t="s">
        <v>9</v>
      </c>
      <c r="B8" s="22">
        <v>329.4</v>
      </c>
      <c r="C8" s="23">
        <v>249.6</v>
      </c>
      <c r="D8" s="23">
        <v>36.1</v>
      </c>
      <c r="E8" s="23">
        <v>35.6</v>
      </c>
      <c r="F8" s="21">
        <f t="shared" si="2"/>
        <v>71.7</v>
      </c>
      <c r="G8" s="25">
        <f>VLOOKUP($A8,[3]gas_and_manu_2019!$A$6:$C$58,2,FALSE)</f>
        <v>13.3</v>
      </c>
      <c r="H8" s="25">
        <f>VLOOKUP($A8,[3]gas_and_manu_2019!$A$6:$C$58,3,FALSE)</f>
        <v>12.8</v>
      </c>
      <c r="J8" s="18">
        <f>B8/B$6</f>
        <v>2.1823385606105777E-3</v>
      </c>
      <c r="K8" s="55">
        <f>C8/C$6</f>
        <v>1.9447431162638493E-3</v>
      </c>
      <c r="L8" s="19">
        <f>D8/D$6</f>
        <v>2.1778474903474906E-3</v>
      </c>
      <c r="M8" s="19">
        <f>E8/E$6</f>
        <v>2.2756328304781386E-3</v>
      </c>
      <c r="N8" s="58">
        <f>F8/F$6</f>
        <v>2.2253258845437618E-3</v>
      </c>
      <c r="O8" s="19">
        <f t="shared" ref="O8:O57" si="3">G8/G$6</f>
        <v>1.8095238095238095E-2</v>
      </c>
      <c r="P8" s="20">
        <f t="shared" ref="P8:P57" si="4">H8/H$6</f>
        <v>9.9696238024768284E-4</v>
      </c>
      <c r="Q8" s="8"/>
      <c r="R8" s="43">
        <f t="shared" ref="R8:R57" si="5">R$6*$K8</f>
        <v>27226.40362769389</v>
      </c>
      <c r="S8" s="44">
        <f t="shared" ref="S8:S57" si="6">S$6*$N8</f>
        <v>31154.562383612665</v>
      </c>
      <c r="T8" s="82">
        <f t="shared" ref="T8:T57" si="7">AVERAGE(R8:S8)</f>
        <v>29190.483005653277</v>
      </c>
      <c r="U8" s="19">
        <f t="shared" ref="U8:U57" si="8">$F8/$C8</f>
        <v>0.28725961538461542</v>
      </c>
      <c r="V8" s="20">
        <f t="shared" si="1"/>
        <v>0.11694905050341858</v>
      </c>
      <c r="X8" s="66" t="s">
        <v>9</v>
      </c>
      <c r="Y8" s="25">
        <f>$Y$6*SUMPRODUCT($Y$3:$AD$3,$K8:$P8)</f>
        <v>29190.483005653277</v>
      </c>
      <c r="Z8" s="8"/>
      <c r="AA8" s="83"/>
      <c r="AB8" s="83"/>
      <c r="AC8" s="83"/>
      <c r="AD8" s="83"/>
      <c r="AE8" s="84"/>
    </row>
    <row r="9" spans="1:31" x14ac:dyDescent="0.35">
      <c r="A9" s="7" t="s">
        <v>10</v>
      </c>
      <c r="B9" s="22">
        <v>2937.4</v>
      </c>
      <c r="C9" s="23">
        <v>2514.9</v>
      </c>
      <c r="D9" s="23">
        <v>330.7</v>
      </c>
      <c r="E9" s="23">
        <v>325.7</v>
      </c>
      <c r="F9" s="21">
        <f t="shared" si="2"/>
        <v>656.4</v>
      </c>
      <c r="G9" s="25">
        <f>VLOOKUP($A9,[3]gas_and_manu_2019!$A$6:$C$58,2,FALSE)</f>
        <v>13.5</v>
      </c>
      <c r="H9" s="25">
        <f>VLOOKUP($A9,[3]gas_and_manu_2019!$A$6:$C$58,3,FALSE)</f>
        <v>177.3</v>
      </c>
      <c r="J9" s="18">
        <f>B9/B$6</f>
        <v>1.9460841797017337E-2</v>
      </c>
      <c r="K9" s="55">
        <f>C9/C$6</f>
        <v>1.9594689355336356E-2</v>
      </c>
      <c r="L9" s="19">
        <f>D9/D$6</f>
        <v>1.9950530888030886E-2</v>
      </c>
      <c r="M9" s="19">
        <f>E9/E$6</f>
        <v>2.0819483508054206E-2</v>
      </c>
      <c r="N9" s="58">
        <f>F9/F$6</f>
        <v>2.037243947858473E-2</v>
      </c>
      <c r="O9" s="19">
        <f t="shared" si="3"/>
        <v>1.8367346938775512E-2</v>
      </c>
      <c r="P9" s="20">
        <f t="shared" si="4"/>
        <v>1.3809486720149545E-2</v>
      </c>
      <c r="Q9" s="8"/>
      <c r="R9" s="43">
        <f t="shared" si="5"/>
        <v>274325.65097470896</v>
      </c>
      <c r="S9" s="44">
        <f t="shared" si="6"/>
        <v>285214.15270018624</v>
      </c>
      <c r="T9" s="82">
        <f t="shared" si="7"/>
        <v>279769.9018374476</v>
      </c>
      <c r="U9" s="19">
        <f t="shared" si="8"/>
        <v>0.26100441369438149</v>
      </c>
      <c r="V9" s="20">
        <f t="shared" si="1"/>
        <v>0.11124494088729078</v>
      </c>
      <c r="X9" s="66" t="s">
        <v>10</v>
      </c>
      <c r="Y9" s="25">
        <f>$Y$6*SUMPRODUCT($Y$3:$AD$3,$K9:$P9)</f>
        <v>279769.9018374476</v>
      </c>
      <c r="Z9" s="8"/>
      <c r="AA9" s="83"/>
      <c r="AB9" s="83"/>
      <c r="AC9" s="83"/>
      <c r="AD9" s="83"/>
      <c r="AE9" s="84"/>
    </row>
    <row r="10" spans="1:31" x14ac:dyDescent="0.35">
      <c r="A10" s="7" t="s">
        <v>11</v>
      </c>
      <c r="B10" s="22">
        <v>1276.4000000000001</v>
      </c>
      <c r="C10" s="23">
        <v>1065.2</v>
      </c>
      <c r="D10" s="23">
        <v>119.9</v>
      </c>
      <c r="E10" s="23">
        <v>136.30000000000001</v>
      </c>
      <c r="F10" s="21">
        <f t="shared" si="2"/>
        <v>256.20000000000005</v>
      </c>
      <c r="G10" s="25">
        <f>VLOOKUP($A10,[3]gas_and_manu_2019!$A$6:$C$58,2,FALSE)</f>
        <v>5.9</v>
      </c>
      <c r="H10" s="25">
        <f>VLOOKUP($A10,[3]gas_and_manu_2019!$A$6:$C$58,3,FALSE)</f>
        <v>162.4</v>
      </c>
      <c r="J10" s="18">
        <f>B10/B$6</f>
        <v>8.4563962925420216E-3</v>
      </c>
      <c r="K10" s="55">
        <f>C10/C$6</f>
        <v>8.299440574696523E-3</v>
      </c>
      <c r="L10" s="19">
        <f>D10/D$6</f>
        <v>7.2333494208494213E-3</v>
      </c>
      <c r="M10" s="19">
        <f>E10/E$6</f>
        <v>8.7126054717463573E-3</v>
      </c>
      <c r="N10" s="58">
        <f>F10/F$6</f>
        <v>7.9515828677839857E-3</v>
      </c>
      <c r="O10" s="19">
        <f t="shared" si="3"/>
        <v>8.0272108843537412E-3</v>
      </c>
      <c r="P10" s="20">
        <f t="shared" si="4"/>
        <v>1.2648960199392477E-2</v>
      </c>
      <c r="Q10" s="8"/>
      <c r="R10" s="43">
        <f t="shared" si="5"/>
        <v>116192.16804575133</v>
      </c>
      <c r="S10" s="44">
        <f t="shared" si="6"/>
        <v>111322.1601489758</v>
      </c>
      <c r="T10" s="82">
        <f t="shared" si="7"/>
        <v>113757.16409736357</v>
      </c>
      <c r="U10" s="19">
        <f t="shared" si="8"/>
        <v>0.24051821254224562</v>
      </c>
      <c r="V10" s="20">
        <f t="shared" si="1"/>
        <v>0.10679418334337548</v>
      </c>
      <c r="X10" s="66" t="s">
        <v>11</v>
      </c>
      <c r="Y10" s="25">
        <f>$Y$6*SUMPRODUCT($Y$3:$AD$3,$K10:$P10)</f>
        <v>113757.16409736355</v>
      </c>
      <c r="Z10" s="8"/>
      <c r="AA10" s="83"/>
      <c r="AB10" s="83"/>
      <c r="AC10" s="83"/>
      <c r="AD10" s="83"/>
      <c r="AE10" s="84"/>
    </row>
    <row r="11" spans="1:31" x14ac:dyDescent="0.35">
      <c r="A11" s="7" t="s">
        <v>12</v>
      </c>
      <c r="B11" s="22">
        <v>17425.099999999999</v>
      </c>
      <c r="C11" s="23">
        <v>14817.1</v>
      </c>
      <c r="D11" s="23">
        <v>2033.2</v>
      </c>
      <c r="E11" s="23">
        <v>1657.6</v>
      </c>
      <c r="F11" s="21">
        <f t="shared" si="2"/>
        <v>3690.8</v>
      </c>
      <c r="G11" s="25">
        <f>VLOOKUP($A11,[3]gas_and_manu_2019!$A$6:$C$58,2,FALSE)</f>
        <v>22.5</v>
      </c>
      <c r="H11" s="25">
        <f>VLOOKUP($A11,[3]gas_and_manu_2019!$A$6:$C$58,3,FALSE)</f>
        <v>1322.5</v>
      </c>
      <c r="J11" s="18">
        <f>B11/B$6</f>
        <v>0.11544464982542615</v>
      </c>
      <c r="K11" s="55">
        <f>C11/C$6</f>
        <v>0.11544652735574151</v>
      </c>
      <c r="L11" s="19">
        <f>D11/D$6</f>
        <v>0.12265926640926642</v>
      </c>
      <c r="M11" s="19">
        <f>E11/E$6</f>
        <v>0.10595755561237534</v>
      </c>
      <c r="N11" s="58">
        <f>F11/F$6</f>
        <v>0.1145499689633768</v>
      </c>
      <c r="O11" s="19">
        <f t="shared" si="3"/>
        <v>3.0612244897959183E-2</v>
      </c>
      <c r="P11" s="20">
        <f t="shared" si="4"/>
        <v>0.10300646467793442</v>
      </c>
      <c r="Q11" s="8"/>
      <c r="R11" s="43">
        <f t="shared" si="5"/>
        <v>1616251.3829803811</v>
      </c>
      <c r="S11" s="44">
        <f t="shared" si="6"/>
        <v>1603699.5654872751</v>
      </c>
      <c r="T11" s="82">
        <f t="shared" si="7"/>
        <v>1609975.474233828</v>
      </c>
      <c r="U11" s="19">
        <f t="shared" si="8"/>
        <v>0.2490905777783777</v>
      </c>
      <c r="V11" s="20">
        <f t="shared" si="1"/>
        <v>0.1086565842326655</v>
      </c>
      <c r="X11" s="66" t="s">
        <v>12</v>
      </c>
      <c r="Y11" s="25">
        <f>$Y$6*SUMPRODUCT($Y$3:$AD$3,$K11:$P11)</f>
        <v>1609975.4742338283</v>
      </c>
      <c r="Z11" s="8"/>
      <c r="AA11" s="83"/>
      <c r="AB11" s="83"/>
      <c r="AC11" s="83"/>
      <c r="AD11" s="83"/>
      <c r="AE11" s="84"/>
    </row>
    <row r="12" spans="1:31" x14ac:dyDescent="0.35">
      <c r="A12" s="7" t="s">
        <v>13</v>
      </c>
      <c r="B12" s="22">
        <v>2785.6</v>
      </c>
      <c r="C12" s="23">
        <v>2330.3000000000002</v>
      </c>
      <c r="D12" s="23">
        <v>344.6</v>
      </c>
      <c r="E12" s="23">
        <v>272.2</v>
      </c>
      <c r="F12" s="21">
        <f t="shared" si="2"/>
        <v>616.79999999999995</v>
      </c>
      <c r="G12" s="25">
        <f>VLOOKUP($A12,[3]gas_and_manu_2019!$A$6:$C$58,2,FALSE)</f>
        <v>28.9</v>
      </c>
      <c r="H12" s="25">
        <f>VLOOKUP($A12,[3]gas_and_manu_2019!$A$6:$C$58,3,FALSE)</f>
        <v>150.1</v>
      </c>
      <c r="J12" s="18">
        <f>B12/B$6</f>
        <v>1.8455137505879859E-2</v>
      </c>
      <c r="K12" s="55">
        <f>C12/C$6</f>
        <v>1.8156389758932887E-2</v>
      </c>
      <c r="L12" s="19">
        <f>D12/D$6</f>
        <v>2.0789092664092665E-2</v>
      </c>
      <c r="M12" s="19">
        <f>E12/E$6</f>
        <v>1.7399642035285094E-2</v>
      </c>
      <c r="N12" s="58">
        <f>F12/F$6</f>
        <v>1.914338919925512E-2</v>
      </c>
      <c r="O12" s="19">
        <f t="shared" si="3"/>
        <v>3.931972789115646E-2</v>
      </c>
      <c r="P12" s="20">
        <f t="shared" si="4"/>
        <v>1.1690941662123217E-2</v>
      </c>
      <c r="Q12" s="8"/>
      <c r="R12" s="43">
        <f t="shared" si="5"/>
        <v>254189.45662506041</v>
      </c>
      <c r="S12" s="44">
        <f t="shared" si="6"/>
        <v>268007.4487895717</v>
      </c>
      <c r="T12" s="82">
        <f t="shared" si="7"/>
        <v>261098.45270731606</v>
      </c>
      <c r="U12" s="19">
        <f t="shared" si="8"/>
        <v>0.26468695017808863</v>
      </c>
      <c r="V12" s="20">
        <f t="shared" si="1"/>
        <v>0.11204499536854313</v>
      </c>
      <c r="X12" s="66" t="s">
        <v>13</v>
      </c>
      <c r="Y12" s="25">
        <f>$Y$6*SUMPRODUCT($Y$3:$AD$3,$K12:$P12)</f>
        <v>261098.45270731606</v>
      </c>
      <c r="Z12" s="8"/>
      <c r="AA12" s="83"/>
      <c r="AB12" s="83"/>
      <c r="AC12" s="83"/>
      <c r="AD12" s="83"/>
      <c r="AE12" s="84"/>
    </row>
    <row r="13" spans="1:31" x14ac:dyDescent="0.35">
      <c r="A13" s="7" t="s">
        <v>14</v>
      </c>
      <c r="B13" s="22">
        <v>1686.7</v>
      </c>
      <c r="C13" s="23">
        <v>1450.3</v>
      </c>
      <c r="D13" s="23">
        <v>157.30000000000001</v>
      </c>
      <c r="E13" s="23">
        <v>175</v>
      </c>
      <c r="F13" s="21">
        <f t="shared" si="2"/>
        <v>332.3</v>
      </c>
      <c r="G13" s="25">
        <f>VLOOKUP($A13,[3]gas_and_manu_2019!$A$6:$C$58,2,FALSE)</f>
        <v>0.5</v>
      </c>
      <c r="H13" s="25">
        <f>VLOOKUP($A13,[3]gas_and_manu_2019!$A$6:$C$58,3,FALSE)</f>
        <v>162</v>
      </c>
      <c r="J13" s="18">
        <f>B13/B$6</f>
        <v>1.1174712963515063E-2</v>
      </c>
      <c r="K13" s="55">
        <f>C13/C$6</f>
        <v>1.1299923643900082E-2</v>
      </c>
      <c r="L13" s="19">
        <f>D13/D$6</f>
        <v>9.4896235521235526E-3</v>
      </c>
      <c r="M13" s="19">
        <f>E13/E$6</f>
        <v>1.1186397340833546E-2</v>
      </c>
      <c r="N13" s="58">
        <f>F13/F$6</f>
        <v>1.0313469894475482E-2</v>
      </c>
      <c r="O13" s="19">
        <f t="shared" si="3"/>
        <v>6.8027210884353737E-4</v>
      </c>
      <c r="P13" s="20">
        <f t="shared" si="4"/>
        <v>1.2617805125009736E-2</v>
      </c>
      <c r="Q13" s="8"/>
      <c r="R13" s="43">
        <f t="shared" si="5"/>
        <v>158198.93101460114</v>
      </c>
      <c r="S13" s="44">
        <f t="shared" si="6"/>
        <v>144388.57852265675</v>
      </c>
      <c r="T13" s="82">
        <f t="shared" si="7"/>
        <v>151293.75476862895</v>
      </c>
      <c r="U13" s="19">
        <f t="shared" si="8"/>
        <v>0.22912500861890644</v>
      </c>
      <c r="V13" s="20">
        <f t="shared" si="1"/>
        <v>0.10431893730168168</v>
      </c>
      <c r="X13" s="66" t="s">
        <v>14</v>
      </c>
      <c r="Y13" s="25">
        <f>$Y$6*SUMPRODUCT($Y$3:$AD$3,$K13:$P13)</f>
        <v>151293.75476862895</v>
      </c>
      <c r="Z13" s="8"/>
      <c r="AA13" s="83"/>
      <c r="AB13" s="83"/>
      <c r="AC13" s="83"/>
      <c r="AD13" s="83"/>
      <c r="AE13" s="84"/>
    </row>
    <row r="14" spans="1:31" x14ac:dyDescent="0.35">
      <c r="A14" s="7" t="s">
        <v>15</v>
      </c>
      <c r="B14" s="22">
        <v>465.7</v>
      </c>
      <c r="C14" s="23">
        <v>398.8</v>
      </c>
      <c r="D14" s="23">
        <v>52.9</v>
      </c>
      <c r="E14" s="23">
        <v>52.3</v>
      </c>
      <c r="F14" s="21">
        <f t="shared" si="2"/>
        <v>105.19999999999999</v>
      </c>
      <c r="G14" s="25" t="str">
        <f>VLOOKUP($A14,[3]gas_and_manu_2019!$A$6:$C$58,2,FALSE)</f>
        <v>(a)</v>
      </c>
      <c r="H14" s="25">
        <f>VLOOKUP($A14,[3]gas_and_manu_2019!$A$6:$C$58,3,FALSE)</f>
        <v>27.3</v>
      </c>
      <c r="J14" s="18">
        <f>B14/B$6</f>
        <v>3.0853523608875108E-3</v>
      </c>
      <c r="K14" s="55">
        <f>C14/C$6</f>
        <v>3.1072257803125927E-3</v>
      </c>
      <c r="L14" s="19">
        <f>D14/D$6</f>
        <v>3.1913610038610037E-3</v>
      </c>
      <c r="M14" s="19">
        <f>E14/E$6</f>
        <v>3.3431347481462539E-3</v>
      </c>
      <c r="N14" s="58">
        <f>F14/F$6</f>
        <v>3.2650527622594657E-3</v>
      </c>
      <c r="O14" s="19">
        <v>0</v>
      </c>
      <c r="P14" s="20">
        <f t="shared" si="4"/>
        <v>2.1263338266220111E-3</v>
      </c>
      <c r="Q14" s="8"/>
      <c r="R14" s="43">
        <f t="shared" si="5"/>
        <v>43501.160924376294</v>
      </c>
      <c r="S14" s="44">
        <f t="shared" si="6"/>
        <v>45710.73867163252</v>
      </c>
      <c r="T14" s="82">
        <f t="shared" si="7"/>
        <v>44605.949798004411</v>
      </c>
      <c r="U14" s="19">
        <f t="shared" si="8"/>
        <v>0.26379137412236708</v>
      </c>
      <c r="V14" s="20">
        <f t="shared" si="1"/>
        <v>0.11185042577232801</v>
      </c>
      <c r="X14" s="66" t="s">
        <v>15</v>
      </c>
      <c r="Y14" s="25">
        <f>$Y$6*SUMPRODUCT($Y$3:$AD$3,$K14:$P14)</f>
        <v>44605.949798004411</v>
      </c>
      <c r="Z14" s="8"/>
      <c r="AA14" s="83"/>
      <c r="AB14" s="83"/>
      <c r="AC14" s="83"/>
      <c r="AD14" s="83"/>
      <c r="AE14" s="84"/>
    </row>
    <row r="15" spans="1:31" x14ac:dyDescent="0.35">
      <c r="A15" s="7" t="s">
        <v>16</v>
      </c>
      <c r="B15" s="22">
        <v>798.3</v>
      </c>
      <c r="C15" s="23">
        <v>559.79999999999995</v>
      </c>
      <c r="D15" s="23">
        <v>81.7</v>
      </c>
      <c r="E15" s="23">
        <v>23.2</v>
      </c>
      <c r="F15" s="21">
        <f t="shared" si="2"/>
        <v>104.9</v>
      </c>
      <c r="G15" s="25" t="str">
        <f>VLOOKUP($A15,[3]gas_and_manu_2019!$A$6:$C$58,2,FALSE)</f>
        <v>(a)</v>
      </c>
      <c r="H15" s="25">
        <f>VLOOKUP($A15,[3]gas_and_manu_2019!$A$6:$C$58,3,FALSE)</f>
        <v>1.4</v>
      </c>
      <c r="J15" s="18">
        <f>B15/B$6</f>
        <v>5.2888915389660719E-3</v>
      </c>
      <c r="K15" s="55">
        <f>C15/C$6</f>
        <v>4.3616474218129116E-3</v>
      </c>
      <c r="L15" s="19">
        <f>D15/D$6</f>
        <v>4.9288127413127415E-3</v>
      </c>
      <c r="M15" s="19">
        <f>E15/E$6</f>
        <v>1.482996676041933E-3</v>
      </c>
      <c r="N15" s="58">
        <f>F15/F$6</f>
        <v>3.2557417752948482E-3</v>
      </c>
      <c r="O15" s="19">
        <v>0</v>
      </c>
      <c r="P15" s="20">
        <f t="shared" si="4"/>
        <v>1.090427603395903E-4</v>
      </c>
      <c r="Q15" s="8"/>
      <c r="R15" s="43">
        <f t="shared" si="5"/>
        <v>61063.063905380761</v>
      </c>
      <c r="S15" s="44">
        <f t="shared" si="6"/>
        <v>45580.384854127878</v>
      </c>
      <c r="T15" s="82">
        <f t="shared" si="7"/>
        <v>53321.72437975432</v>
      </c>
      <c r="U15" s="19">
        <f t="shared" si="8"/>
        <v>0.1873883529832083</v>
      </c>
      <c r="V15" s="20">
        <f t="shared" si="1"/>
        <v>9.5251383315030941E-2</v>
      </c>
      <c r="X15" s="66" t="s">
        <v>16</v>
      </c>
      <c r="Y15" s="25">
        <f>$Y$6*SUMPRODUCT($Y$3:$AD$3,$K15:$P15)</f>
        <v>53321.724379754312</v>
      </c>
      <c r="Z15" s="8"/>
      <c r="AA15" s="83"/>
      <c r="AB15" s="83"/>
      <c r="AC15" s="83"/>
      <c r="AD15" s="83"/>
      <c r="AE15" s="84"/>
    </row>
    <row r="16" spans="1:31" x14ac:dyDescent="0.35">
      <c r="A16" s="7" t="s">
        <v>17</v>
      </c>
      <c r="B16" s="22">
        <v>8952.6</v>
      </c>
      <c r="C16" s="23">
        <v>7829.4</v>
      </c>
      <c r="D16" s="23">
        <v>1255.2</v>
      </c>
      <c r="E16" s="23">
        <v>1109.0999999999999</v>
      </c>
      <c r="F16" s="21">
        <f t="shared" si="2"/>
        <v>2364.3000000000002</v>
      </c>
      <c r="G16" s="25">
        <f>VLOOKUP($A16,[3]gas_and_manu_2019!$A$6:$C$58,2,FALSE)</f>
        <v>5.7</v>
      </c>
      <c r="H16" s="25">
        <f>VLOOKUP($A16,[3]gas_and_manu_2019!$A$6:$C$58,3,FALSE)</f>
        <v>384.5</v>
      </c>
      <c r="J16" s="18">
        <f>B16/B$6</f>
        <v>5.9312702482459803E-2</v>
      </c>
      <c r="K16" s="55">
        <f>C16/C$6</f>
        <v>6.100229068299752E-2</v>
      </c>
      <c r="L16" s="19">
        <f>D16/D$6</f>
        <v>7.5723938223938234E-2</v>
      </c>
      <c r="M16" s="19">
        <f>E16/E$6</f>
        <v>7.0896190232677056E-2</v>
      </c>
      <c r="N16" s="58">
        <f>F16/F$6</f>
        <v>7.3379888268156432E-2</v>
      </c>
      <c r="O16" s="19">
        <f t="shared" si="3"/>
        <v>7.7551020408163267E-3</v>
      </c>
      <c r="P16" s="20">
        <f t="shared" si="4"/>
        <v>2.9947815250408912E-2</v>
      </c>
      <c r="Q16" s="8"/>
      <c r="R16" s="43">
        <f t="shared" si="5"/>
        <v>854032.0695619653</v>
      </c>
      <c r="S16" s="44">
        <f t="shared" si="6"/>
        <v>1027318.4357541901</v>
      </c>
      <c r="T16" s="82">
        <f t="shared" si="7"/>
        <v>940675.25265807775</v>
      </c>
      <c r="U16" s="19">
        <f t="shared" si="8"/>
        <v>0.30197716300099631</v>
      </c>
      <c r="V16" s="20">
        <f t="shared" si="1"/>
        <v>0.12014653136358824</v>
      </c>
      <c r="X16" s="66" t="s">
        <v>17</v>
      </c>
      <c r="Y16" s="25">
        <f>$Y$6*SUMPRODUCT($Y$3:$AD$3,$K16:$P16)</f>
        <v>940675.25265807763</v>
      </c>
      <c r="Z16" s="8"/>
      <c r="AA16" s="83"/>
      <c r="AB16" s="83"/>
      <c r="AC16" s="83"/>
      <c r="AD16" s="83"/>
      <c r="AE16" s="84"/>
    </row>
    <row r="17" spans="1:31" x14ac:dyDescent="0.35">
      <c r="A17" s="7" t="s">
        <v>18</v>
      </c>
      <c r="B17" s="22">
        <v>4613.8</v>
      </c>
      <c r="C17" s="23">
        <v>3923.5</v>
      </c>
      <c r="D17" s="23">
        <v>502.1</v>
      </c>
      <c r="E17" s="23">
        <v>493.2</v>
      </c>
      <c r="F17" s="21">
        <f t="shared" si="2"/>
        <v>995.3</v>
      </c>
      <c r="G17" s="25">
        <f>VLOOKUP($A17,[3]gas_and_manu_2019!$A$6:$C$58,2,FALSE)</f>
        <v>9.4</v>
      </c>
      <c r="H17" s="25">
        <f>VLOOKUP($A17,[3]gas_and_manu_2019!$A$6:$C$58,3,FALSE)</f>
        <v>406.1</v>
      </c>
      <c r="J17" s="18">
        <f>B17/B$6</f>
        <v>3.0567315273057328E-2</v>
      </c>
      <c r="K17" s="55">
        <f>C17/C$6</f>
        <v>3.0569710002649089E-2</v>
      </c>
      <c r="L17" s="19">
        <f>D17/D$6</f>
        <v>3.0290781853281854E-2</v>
      </c>
      <c r="M17" s="19">
        <f>E17/E$6</f>
        <v>3.1526463819994882E-2</v>
      </c>
      <c r="N17" s="58">
        <f>F17/F$6</f>
        <v>3.0890751086281813E-2</v>
      </c>
      <c r="O17" s="19">
        <f t="shared" si="3"/>
        <v>1.2789115646258504E-2</v>
      </c>
      <c r="P17" s="20">
        <f t="shared" si="4"/>
        <v>3.1630189267076878E-2</v>
      </c>
      <c r="Q17" s="8"/>
      <c r="R17" s="43">
        <f t="shared" si="5"/>
        <v>427975.94003708725</v>
      </c>
      <c r="S17" s="44">
        <f t="shared" si="6"/>
        <v>432470.51520794537</v>
      </c>
      <c r="T17" s="82">
        <f t="shared" si="7"/>
        <v>430223.22762251634</v>
      </c>
      <c r="U17" s="19">
        <f t="shared" si="8"/>
        <v>0.25367656429208613</v>
      </c>
      <c r="V17" s="20">
        <f t="shared" si="1"/>
        <v>0.10965291898114345</v>
      </c>
      <c r="X17" s="66" t="s">
        <v>18</v>
      </c>
      <c r="Y17" s="25">
        <f>$Y$6*SUMPRODUCT($Y$3:$AD$3,$K17:$P17)</f>
        <v>430223.22762251628</v>
      </c>
      <c r="Z17" s="8"/>
      <c r="AA17" s="83"/>
      <c r="AB17" s="83"/>
      <c r="AC17" s="83"/>
      <c r="AD17" s="83"/>
      <c r="AE17" s="84"/>
    </row>
    <row r="18" spans="1:31" x14ac:dyDescent="0.35">
      <c r="A18" s="7" t="s">
        <v>19</v>
      </c>
      <c r="B18" s="22">
        <v>655.7</v>
      </c>
      <c r="C18" s="23">
        <v>529.4</v>
      </c>
      <c r="D18" s="23">
        <v>126.5</v>
      </c>
      <c r="E18" s="23">
        <v>71.099999999999994</v>
      </c>
      <c r="F18" s="21">
        <f t="shared" si="2"/>
        <v>197.6</v>
      </c>
      <c r="G18" s="25" t="str">
        <f>VLOOKUP($A18,[3]gas_and_manu_2019!$A$6:$C$58,2,FALSE)</f>
        <v>(a)</v>
      </c>
      <c r="H18" s="25">
        <f>VLOOKUP($A18,[3]gas_and_manu_2019!$A$6:$C$58,3,FALSE)</f>
        <v>14</v>
      </c>
      <c r="J18" s="18">
        <f>B18/B$6</f>
        <v>4.3441390230490465E-3</v>
      </c>
      <c r="K18" s="55">
        <f>C18/C$6</f>
        <v>4.1247876832935966E-3</v>
      </c>
      <c r="L18" s="19">
        <f>D18/D$6</f>
        <v>7.6315154440154444E-3</v>
      </c>
      <c r="M18" s="19">
        <f>E18/E$6</f>
        <v>4.5448734339043721E-3</v>
      </c>
      <c r="N18" s="58">
        <f>F18/F$6</f>
        <v>6.1328367473618868E-3</v>
      </c>
      <c r="O18" s="19">
        <v>0</v>
      </c>
      <c r="P18" s="20">
        <f t="shared" si="4"/>
        <v>1.0904276033959031E-3</v>
      </c>
      <c r="Q18" s="8"/>
      <c r="R18" s="43">
        <f t="shared" si="5"/>
        <v>57747.027566110351</v>
      </c>
      <c r="S18" s="44">
        <f t="shared" si="6"/>
        <v>85859.714463066412</v>
      </c>
      <c r="T18" s="82">
        <f t="shared" si="7"/>
        <v>71803.371014588382</v>
      </c>
      <c r="U18" s="19">
        <f t="shared" si="8"/>
        <v>0.37325273894975447</v>
      </c>
      <c r="V18" s="20">
        <f t="shared" si="1"/>
        <v>0.13563160372986094</v>
      </c>
      <c r="X18" s="66" t="s">
        <v>19</v>
      </c>
      <c r="Y18" s="25">
        <f>$Y$6*SUMPRODUCT($Y$3:$AD$3,$K18:$P18)</f>
        <v>71803.371014588382</v>
      </c>
      <c r="Z18" s="8"/>
      <c r="AA18" s="83"/>
      <c r="AB18" s="83"/>
      <c r="AC18" s="83"/>
      <c r="AD18" s="83"/>
      <c r="AE18" s="84"/>
    </row>
    <row r="19" spans="1:31" x14ac:dyDescent="0.35">
      <c r="A19" s="7" t="s">
        <v>20</v>
      </c>
      <c r="B19" s="22">
        <v>759.2</v>
      </c>
      <c r="C19" s="23">
        <v>632.1</v>
      </c>
      <c r="D19" s="23">
        <v>82.7</v>
      </c>
      <c r="E19" s="23">
        <v>87.8</v>
      </c>
      <c r="F19" s="21">
        <f t="shared" si="2"/>
        <v>170.5</v>
      </c>
      <c r="G19" s="25">
        <f>VLOOKUP($A19,[3]gas_and_manu_2019!$A$6:$C$58,2,FALSE)</f>
        <v>3.7</v>
      </c>
      <c r="H19" s="25">
        <f>VLOOKUP($A19,[3]gas_and_manu_2019!$A$6:$C$58,3,FALSE)</f>
        <v>68.599999999999994</v>
      </c>
      <c r="J19" s="18">
        <f>B19/B$6</f>
        <v>5.0298464942791464E-3</v>
      </c>
      <c r="K19" s="55">
        <f>C19/C$6</f>
        <v>4.9249684446729938E-3</v>
      </c>
      <c r="L19" s="19">
        <f>D19/D$6</f>
        <v>4.9891409266409267E-3</v>
      </c>
      <c r="M19" s="19">
        <f>E19/E$6</f>
        <v>5.6123753515724874E-3</v>
      </c>
      <c r="N19" s="58">
        <f>F19/F$6</f>
        <v>5.2917442582247048E-3</v>
      </c>
      <c r="O19" s="19">
        <f t="shared" si="3"/>
        <v>5.0340136054421768E-3</v>
      </c>
      <c r="P19" s="20">
        <f t="shared" si="4"/>
        <v>5.3430952566399246E-3</v>
      </c>
      <c r="Q19" s="8"/>
      <c r="R19" s="43">
        <f t="shared" si="5"/>
        <v>68949.558225421919</v>
      </c>
      <c r="S19" s="44">
        <f t="shared" si="6"/>
        <v>74084.41961514586</v>
      </c>
      <c r="T19" s="82">
        <f t="shared" si="7"/>
        <v>71516.988920283882</v>
      </c>
      <c r="U19" s="19">
        <f t="shared" si="8"/>
        <v>0.2697358012972631</v>
      </c>
      <c r="V19" s="20">
        <f t="shared" si="1"/>
        <v>0.11314189039753818</v>
      </c>
      <c r="X19" s="66" t="s">
        <v>20</v>
      </c>
      <c r="Y19" s="25">
        <f>$Y$6*SUMPRODUCT($Y$3:$AD$3,$K19:$P19)</f>
        <v>71516.988920283882</v>
      </c>
      <c r="Z19" s="8"/>
      <c r="AA19" s="83"/>
      <c r="AB19" s="83"/>
      <c r="AC19" s="83"/>
      <c r="AD19" s="83"/>
      <c r="AE19" s="84"/>
    </row>
    <row r="20" spans="1:31" x14ac:dyDescent="0.35">
      <c r="A20" s="7" t="s">
        <v>21</v>
      </c>
      <c r="B20" s="22">
        <v>6118</v>
      </c>
      <c r="C20" s="23">
        <v>5292.6</v>
      </c>
      <c r="D20" s="23">
        <v>621.1</v>
      </c>
      <c r="E20" s="23">
        <v>586.70000000000005</v>
      </c>
      <c r="F20" s="21">
        <f t="shared" si="2"/>
        <v>1207.8000000000002</v>
      </c>
      <c r="G20" s="25">
        <f>VLOOKUP($A20,[3]gas_and_manu_2019!$A$6:$C$58,2,FALSE)</f>
        <v>8.3000000000000007</v>
      </c>
      <c r="H20" s="25">
        <f>VLOOKUP($A20,[3]gas_and_manu_2019!$A$6:$C$58,3,FALSE)</f>
        <v>585.5</v>
      </c>
      <c r="J20" s="18">
        <f>B20/B$6</f>
        <v>4.0532930521601444E-2</v>
      </c>
      <c r="K20" s="55">
        <f>C20/C$6</f>
        <v>4.1236968818662054E-2</v>
      </c>
      <c r="L20" s="19">
        <f>D20/D$6</f>
        <v>3.7469835907335908E-2</v>
      </c>
      <c r="M20" s="19">
        <f>E20/E$6</f>
        <v>3.7503196113525955E-2</v>
      </c>
      <c r="N20" s="58">
        <f>F20/F$6</f>
        <v>3.7486033519553076E-2</v>
      </c>
      <c r="O20" s="19">
        <f t="shared" si="3"/>
        <v>1.1292517006802722E-2</v>
      </c>
      <c r="P20" s="20">
        <f t="shared" si="4"/>
        <v>4.5603240127735804E-2</v>
      </c>
      <c r="Q20" s="8"/>
      <c r="R20" s="43">
        <f t="shared" si="5"/>
        <v>577317.56346126879</v>
      </c>
      <c r="S20" s="44">
        <f t="shared" si="6"/>
        <v>524804.4692737431</v>
      </c>
      <c r="T20" s="82">
        <f t="shared" si="7"/>
        <v>551061.016367506</v>
      </c>
      <c r="U20" s="19">
        <f t="shared" si="8"/>
        <v>0.22820541888674756</v>
      </c>
      <c r="V20" s="20">
        <f t="shared" si="1"/>
        <v>0.10411915058147338</v>
      </c>
      <c r="X20" s="66" t="s">
        <v>21</v>
      </c>
      <c r="Y20" s="25">
        <f>$Y$6*SUMPRODUCT($Y$3:$AD$3,$K20:$P20)</f>
        <v>551061.016367506</v>
      </c>
      <c r="Z20" s="8"/>
      <c r="AA20" s="83"/>
      <c r="AB20" s="83"/>
      <c r="AC20" s="83"/>
      <c r="AD20" s="83"/>
      <c r="AE20" s="84"/>
    </row>
    <row r="21" spans="1:31" x14ac:dyDescent="0.35">
      <c r="A21" s="7" t="s">
        <v>22</v>
      </c>
      <c r="B21" s="22">
        <v>3166.2</v>
      </c>
      <c r="C21" s="23">
        <v>2736.9</v>
      </c>
      <c r="D21" s="23">
        <v>313.3</v>
      </c>
      <c r="E21" s="23">
        <v>316.3</v>
      </c>
      <c r="F21" s="21">
        <f t="shared" si="2"/>
        <v>629.6</v>
      </c>
      <c r="G21" s="25">
        <f>VLOOKUP($A21,[3]gas_and_manu_2019!$A$6:$C$58,2,FALSE)</f>
        <v>6</v>
      </c>
      <c r="H21" s="25">
        <f>VLOOKUP($A21,[3]gas_and_manu_2019!$A$6:$C$58,3,FALSE)</f>
        <v>541.79999999999995</v>
      </c>
      <c r="J21" s="18">
        <f>B21/B$6</f>
        <v>2.0976685945978176E-2</v>
      </c>
      <c r="K21" s="55">
        <f>C21/C$6</f>
        <v>2.1324388761628722E-2</v>
      </c>
      <c r="L21" s="19">
        <f>D21/D$6</f>
        <v>1.8900820463320464E-2</v>
      </c>
      <c r="M21" s="19">
        <f>E21/E$6</f>
        <v>2.0218614165175147E-2</v>
      </c>
      <c r="N21" s="58">
        <f>F21/F$6</f>
        <v>1.9540657976412166E-2</v>
      </c>
      <c r="O21" s="19">
        <f t="shared" si="3"/>
        <v>8.1632653061224497E-3</v>
      </c>
      <c r="P21" s="20">
        <f t="shared" si="4"/>
        <v>4.219954825142145E-2</v>
      </c>
      <c r="Q21" s="8"/>
      <c r="R21" s="43">
        <f t="shared" si="5"/>
        <v>298541.44266280212</v>
      </c>
      <c r="S21" s="44">
        <f t="shared" si="6"/>
        <v>273569.2116697703</v>
      </c>
      <c r="T21" s="82">
        <f t="shared" si="7"/>
        <v>286055.32716628618</v>
      </c>
      <c r="U21" s="19">
        <f t="shared" si="8"/>
        <v>0.23004128758814718</v>
      </c>
      <c r="V21" s="20">
        <f t="shared" si="1"/>
        <v>0.10451800473758127</v>
      </c>
      <c r="X21" s="66" t="s">
        <v>22</v>
      </c>
      <c r="Y21" s="25">
        <f>$Y$6*SUMPRODUCT($Y$3:$AD$3,$K21:$P21)</f>
        <v>286055.32716628624</v>
      </c>
      <c r="Z21" s="8"/>
      <c r="AA21" s="83"/>
      <c r="AB21" s="83"/>
      <c r="AC21" s="83"/>
      <c r="AD21" s="83"/>
      <c r="AE21" s="84"/>
    </row>
    <row r="22" spans="1:31" x14ac:dyDescent="0.35">
      <c r="A22" s="7" t="s">
        <v>23</v>
      </c>
      <c r="B22" s="22">
        <v>1585.7</v>
      </c>
      <c r="C22" s="23">
        <v>1325.2</v>
      </c>
      <c r="D22" s="23">
        <v>144.4</v>
      </c>
      <c r="E22" s="23">
        <v>174.9</v>
      </c>
      <c r="F22" s="21">
        <f t="shared" si="2"/>
        <v>319.3</v>
      </c>
      <c r="G22" s="25">
        <f>VLOOKUP($A22,[3]gas_and_manu_2019!$A$6:$C$58,2,FALSE)</f>
        <v>2.5</v>
      </c>
      <c r="H22" s="25">
        <f>VLOOKUP($A22,[3]gas_and_manu_2019!$A$6:$C$58,3,FALSE)</f>
        <v>226.1</v>
      </c>
      <c r="J22" s="18">
        <f>B22/B$6</f>
        <v>1.0505568474681825E-2</v>
      </c>
      <c r="K22" s="55">
        <f>C22/C$6</f>
        <v>1.0325214654138033E-2</v>
      </c>
      <c r="L22" s="19">
        <f>D22/D$6</f>
        <v>8.7113899613899624E-3</v>
      </c>
      <c r="M22" s="19">
        <f>E22/E$6</f>
        <v>1.1180005113781642E-2</v>
      </c>
      <c r="N22" s="58">
        <f>F22/F$6</f>
        <v>9.9099937926753565E-3</v>
      </c>
      <c r="O22" s="19">
        <f t="shared" si="3"/>
        <v>3.4013605442176869E-3</v>
      </c>
      <c r="P22" s="20">
        <f t="shared" si="4"/>
        <v>1.7610405794843836E-2</v>
      </c>
      <c r="Q22" s="8"/>
      <c r="R22" s="43">
        <f t="shared" si="5"/>
        <v>144553.00515793246</v>
      </c>
      <c r="S22" s="44">
        <f t="shared" si="6"/>
        <v>138739.91309745499</v>
      </c>
      <c r="T22" s="82">
        <f t="shared" si="7"/>
        <v>141646.45912769373</v>
      </c>
      <c r="U22" s="19">
        <f t="shared" si="8"/>
        <v>0.24094476305463328</v>
      </c>
      <c r="V22" s="20">
        <f t="shared" si="1"/>
        <v>0.10688685415612265</v>
      </c>
      <c r="X22" s="66" t="s">
        <v>23</v>
      </c>
      <c r="Y22" s="25">
        <f>$Y$6*SUMPRODUCT($Y$3:$AD$3,$K22:$P22)</f>
        <v>141646.45912769373</v>
      </c>
      <c r="Z22" s="8"/>
      <c r="AA22" s="83"/>
      <c r="AB22" s="83"/>
      <c r="AC22" s="83"/>
      <c r="AD22" s="83"/>
      <c r="AE22" s="84"/>
    </row>
    <row r="23" spans="1:31" x14ac:dyDescent="0.35">
      <c r="A23" s="7" t="s">
        <v>24</v>
      </c>
      <c r="B23" s="22">
        <v>1423</v>
      </c>
      <c r="C23" s="23">
        <v>1163</v>
      </c>
      <c r="D23" s="23">
        <v>130.5</v>
      </c>
      <c r="E23" s="23">
        <v>142.1</v>
      </c>
      <c r="F23" s="21">
        <f t="shared" si="2"/>
        <v>272.60000000000002</v>
      </c>
      <c r="G23" s="25">
        <f>VLOOKUP($A23,[3]gas_and_manu_2019!$A$6:$C$58,2,FALSE)</f>
        <v>6.8</v>
      </c>
      <c r="H23" s="25">
        <f>VLOOKUP($A23,[3]gas_and_manu_2019!$A$6:$C$58,3,FALSE)</f>
        <v>167.1</v>
      </c>
      <c r="J23" s="18">
        <f>B23/B$6</f>
        <v>9.4276495802940261E-3</v>
      </c>
      <c r="K23" s="55">
        <f>C23/C$6</f>
        <v>9.0614432861172139E-3</v>
      </c>
      <c r="L23" s="19">
        <f>D23/D$6</f>
        <v>7.8728281853281852E-3</v>
      </c>
      <c r="M23" s="19">
        <f>E23/E$6</f>
        <v>9.08335464075684E-3</v>
      </c>
      <c r="N23" s="58">
        <f>F23/F$6</f>
        <v>8.4605834885164502E-3</v>
      </c>
      <c r="O23" s="19">
        <f t="shared" si="3"/>
        <v>9.2517006802721093E-3</v>
      </c>
      <c r="P23" s="20">
        <f t="shared" si="4"/>
        <v>1.3015032323389672E-2</v>
      </c>
      <c r="Q23" s="8"/>
      <c r="R23" s="43">
        <f t="shared" si="5"/>
        <v>126860.206005641</v>
      </c>
      <c r="S23" s="44">
        <f t="shared" si="6"/>
        <v>118448.1688392303</v>
      </c>
      <c r="T23" s="82">
        <f t="shared" si="7"/>
        <v>122654.18742243564</v>
      </c>
      <c r="U23" s="19">
        <f t="shared" si="8"/>
        <v>0.23439380911435945</v>
      </c>
      <c r="V23" s="20">
        <f t="shared" si="1"/>
        <v>0.10546361773210287</v>
      </c>
      <c r="X23" s="66" t="s">
        <v>24</v>
      </c>
      <c r="Y23" s="25">
        <f>$Y$6*SUMPRODUCT($Y$3:$AD$3,$K23:$P23)</f>
        <v>122654.18742243566</v>
      </c>
      <c r="Z23" s="8"/>
      <c r="AA23" s="83"/>
      <c r="AB23" s="83"/>
      <c r="AC23" s="83"/>
      <c r="AD23" s="83"/>
      <c r="AE23" s="84"/>
    </row>
    <row r="24" spans="1:31" x14ac:dyDescent="0.35">
      <c r="A24" s="7" t="s">
        <v>25</v>
      </c>
      <c r="B24" s="22">
        <v>1938.7</v>
      </c>
      <c r="C24" s="23">
        <v>1627.4</v>
      </c>
      <c r="D24" s="23">
        <v>201.7</v>
      </c>
      <c r="E24" s="23">
        <v>209.4</v>
      </c>
      <c r="F24" s="21">
        <f t="shared" si="2"/>
        <v>411.1</v>
      </c>
      <c r="G24" s="25">
        <f>VLOOKUP($A24,[3]gas_and_manu_2019!$A$6:$C$58,2,FALSE)</f>
        <v>10</v>
      </c>
      <c r="H24" s="25">
        <f>VLOOKUP($A24,[3]gas_and_manu_2019!$A$6:$C$58,3,FALSE)</f>
        <v>252.1</v>
      </c>
      <c r="I24" s="10"/>
      <c r="J24" s="18">
        <f>B24/B$6</f>
        <v>1.2844261589118784E-2</v>
      </c>
      <c r="K24" s="55">
        <f>C24/C$6</f>
        <v>1.2679787449550435E-2</v>
      </c>
      <c r="L24" s="19">
        <f>D24/D$6</f>
        <v>1.216819498069498E-2</v>
      </c>
      <c r="M24" s="19">
        <f>E24/E$6</f>
        <v>1.3385323446688828E-2</v>
      </c>
      <c r="N24" s="58">
        <f>F24/F$6</f>
        <v>1.2759155803848543E-2</v>
      </c>
      <c r="O24" s="19">
        <f t="shared" si="3"/>
        <v>1.3605442176870748E-2</v>
      </c>
      <c r="P24" s="20">
        <f t="shared" si="4"/>
        <v>1.9635485629721939E-2</v>
      </c>
      <c r="Q24" s="8"/>
      <c r="R24" s="43">
        <f t="shared" si="5"/>
        <v>177517.02429370608</v>
      </c>
      <c r="S24" s="44">
        <f t="shared" si="6"/>
        <v>178628.18125387959</v>
      </c>
      <c r="T24" s="82">
        <f t="shared" si="7"/>
        <v>178072.60277379284</v>
      </c>
      <c r="U24" s="19">
        <f t="shared" si="8"/>
        <v>0.25261152759002087</v>
      </c>
      <c r="V24" s="20">
        <f t="shared" si="1"/>
        <v>0.10942153298131549</v>
      </c>
      <c r="X24" s="66" t="s">
        <v>25</v>
      </c>
      <c r="Y24" s="25">
        <f>$Y$6*SUMPRODUCT($Y$3:$AD$3,$K24:$P24)</f>
        <v>178072.60277379284</v>
      </c>
      <c r="Z24" s="8"/>
      <c r="AA24" s="83"/>
      <c r="AB24" s="83"/>
      <c r="AC24" s="83"/>
      <c r="AD24" s="83"/>
      <c r="AE24" s="84"/>
    </row>
    <row r="25" spans="1:31" x14ac:dyDescent="0.35">
      <c r="A25" s="7" t="s">
        <v>26</v>
      </c>
      <c r="B25" s="22">
        <v>1988.8</v>
      </c>
      <c r="C25" s="23">
        <v>1657.6</v>
      </c>
      <c r="D25" s="23">
        <v>238.3</v>
      </c>
      <c r="E25" s="23">
        <v>222.6</v>
      </c>
      <c r="F25" s="21">
        <f t="shared" si="2"/>
        <v>460.9</v>
      </c>
      <c r="G25" s="25">
        <f>VLOOKUP($A25,[3]gas_and_manu_2019!$A$6:$C$58,2,FALSE)</f>
        <v>36.9</v>
      </c>
      <c r="H25" s="25">
        <f>VLOOKUP($A25,[3]gas_and_manu_2019!$A$6:$C$58,3,FALSE)</f>
        <v>137.5</v>
      </c>
      <c r="J25" s="18">
        <f>B25/B$6</f>
        <v>1.3176183756351904E-2</v>
      </c>
      <c r="K25" s="55">
        <f>C25/C$6</f>
        <v>1.2915088900316332E-2</v>
      </c>
      <c r="L25" s="19">
        <f>D25/D$6</f>
        <v>1.4376206563706565E-2</v>
      </c>
      <c r="M25" s="19">
        <f>E25/E$6</f>
        <v>1.4229097417540271E-2</v>
      </c>
      <c r="N25" s="58">
        <f>F25/F$6</f>
        <v>1.430477963997517E-2</v>
      </c>
      <c r="O25" s="19">
        <f t="shared" si="3"/>
        <v>5.020408163265306E-2</v>
      </c>
      <c r="P25" s="20">
        <f t="shared" si="4"/>
        <v>1.0709556819066905E-2</v>
      </c>
      <c r="Q25" s="8"/>
      <c r="R25" s="43">
        <f t="shared" si="5"/>
        <v>180811.24460442865</v>
      </c>
      <c r="S25" s="44">
        <f t="shared" si="6"/>
        <v>200266.91495965238</v>
      </c>
      <c r="T25" s="82">
        <f t="shared" si="7"/>
        <v>190539.0797820405</v>
      </c>
      <c r="U25" s="19">
        <f t="shared" si="8"/>
        <v>0.27805260617760619</v>
      </c>
      <c r="V25" s="20">
        <f t="shared" si="1"/>
        <v>0.1149487691735283</v>
      </c>
      <c r="X25" s="66" t="s">
        <v>26</v>
      </c>
      <c r="Y25" s="25">
        <f>$Y$6*SUMPRODUCT($Y$3:$AD$3,$K25:$P25)</f>
        <v>190539.0797820405</v>
      </c>
      <c r="Z25" s="8"/>
      <c r="AA25" s="83"/>
      <c r="AB25" s="83"/>
      <c r="AC25" s="83"/>
      <c r="AD25" s="83"/>
      <c r="AE25" s="84"/>
    </row>
    <row r="26" spans="1:31" x14ac:dyDescent="0.35">
      <c r="A26" s="7" t="s">
        <v>27</v>
      </c>
      <c r="B26" s="22">
        <v>635.5</v>
      </c>
      <c r="C26" s="23">
        <v>534.20000000000005</v>
      </c>
      <c r="D26" s="23">
        <v>69.2</v>
      </c>
      <c r="E26" s="23">
        <v>80.400000000000006</v>
      </c>
      <c r="F26" s="21">
        <f t="shared" si="2"/>
        <v>149.60000000000002</v>
      </c>
      <c r="G26" s="25">
        <f>VLOOKUP($A26,[3]gas_and_manu_2019!$A$6:$C$58,2,FALSE)</f>
        <v>2.2000000000000002</v>
      </c>
      <c r="H26" s="25">
        <f>VLOOKUP($A26,[3]gas_and_manu_2019!$A$6:$C$58,3,FALSE)</f>
        <v>53.3</v>
      </c>
      <c r="J26" s="18">
        <f>B26/B$6</f>
        <v>4.2103101252823991E-3</v>
      </c>
      <c r="K26" s="55">
        <f>C26/C$6</f>
        <v>4.1621865893755943E-3</v>
      </c>
      <c r="L26" s="19">
        <f>D26/D$6</f>
        <v>4.1747104247104247E-3</v>
      </c>
      <c r="M26" s="19">
        <f>E26/E$6</f>
        <v>5.1393505497315268E-3</v>
      </c>
      <c r="N26" s="58">
        <f>F26/F$6</f>
        <v>4.6430788330229676E-3</v>
      </c>
      <c r="O26" s="19">
        <f t="shared" si="3"/>
        <v>2.9931972789115648E-3</v>
      </c>
      <c r="P26" s="20">
        <f t="shared" si="4"/>
        <v>4.1514136615001165E-3</v>
      </c>
      <c r="Q26" s="8"/>
      <c r="R26" s="43">
        <f t="shared" si="5"/>
        <v>58270.612251258324</v>
      </c>
      <c r="S26" s="44">
        <f t="shared" si="6"/>
        <v>65003.103662321548</v>
      </c>
      <c r="T26" s="82">
        <f t="shared" si="7"/>
        <v>61636.857956789936</v>
      </c>
      <c r="U26" s="19">
        <f t="shared" si="8"/>
        <v>0.28004492699363537</v>
      </c>
      <c r="V26" s="20">
        <f t="shared" si="1"/>
        <v>0.11538161354696731</v>
      </c>
      <c r="X26" s="66" t="s">
        <v>27</v>
      </c>
      <c r="Y26" s="25">
        <f>$Y$6*SUMPRODUCT($Y$3:$AD$3,$K26:$P26)</f>
        <v>61636.857956789936</v>
      </c>
      <c r="Z26" s="8"/>
      <c r="AA26" s="83"/>
      <c r="AB26" s="83"/>
      <c r="AC26" s="83"/>
      <c r="AD26" s="83"/>
      <c r="AE26" s="84"/>
    </row>
    <row r="27" spans="1:31" x14ac:dyDescent="0.35">
      <c r="A27" s="7" t="s">
        <v>28</v>
      </c>
      <c r="B27" s="22">
        <v>2768.9</v>
      </c>
      <c r="C27" s="23">
        <v>2262.1999999999998</v>
      </c>
      <c r="D27" s="23">
        <v>281.7</v>
      </c>
      <c r="E27" s="23">
        <v>280.2</v>
      </c>
      <c r="F27" s="21">
        <f t="shared" si="2"/>
        <v>561.9</v>
      </c>
      <c r="G27" s="25">
        <f>VLOOKUP($A27,[3]gas_and_manu_2019!$A$6:$C$58,2,FALSE)</f>
        <v>1.3</v>
      </c>
      <c r="H27" s="25">
        <f>VLOOKUP($A27,[3]gas_and_manu_2019!$A$6:$C$58,3,FALSE)</f>
        <v>112.9</v>
      </c>
      <c r="J27" s="18">
        <f>B27/B$6</f>
        <v>1.8344496783468819E-2</v>
      </c>
      <c r="K27" s="55">
        <f>C27/C$6</f>
        <v>1.7625792778894551E-2</v>
      </c>
      <c r="L27" s="19">
        <f>D27/D$6</f>
        <v>1.6994449806949807E-2</v>
      </c>
      <c r="M27" s="19">
        <f>E27/E$6</f>
        <v>1.7911020199437484E-2</v>
      </c>
      <c r="N27" s="58">
        <f>F27/F$6</f>
        <v>1.7439478584729981E-2</v>
      </c>
      <c r="O27" s="19">
        <f t="shared" si="3"/>
        <v>1.7687074829931973E-3</v>
      </c>
      <c r="P27" s="20">
        <f t="shared" si="4"/>
        <v>8.79351974452839E-3</v>
      </c>
      <c r="Q27" s="8"/>
      <c r="R27" s="43">
        <f t="shared" si="5"/>
        <v>246761.09890452371</v>
      </c>
      <c r="S27" s="44">
        <f t="shared" si="6"/>
        <v>244152.70018621974</v>
      </c>
      <c r="T27" s="82">
        <f t="shared" si="7"/>
        <v>245456.89954537171</v>
      </c>
      <c r="U27" s="19">
        <f t="shared" si="8"/>
        <v>0.24838652639023959</v>
      </c>
      <c r="V27" s="20">
        <f t="shared" si="1"/>
        <v>0.10850362458906007</v>
      </c>
      <c r="X27" s="66" t="s">
        <v>28</v>
      </c>
      <c r="Y27" s="25">
        <f>$Y$6*SUMPRODUCT($Y$3:$AD$3,$K27:$P27)</f>
        <v>245456.89954537171</v>
      </c>
      <c r="Z27" s="8"/>
      <c r="AA27" s="83"/>
      <c r="AB27" s="83"/>
      <c r="AC27" s="83"/>
      <c r="AD27" s="83"/>
      <c r="AE27" s="84"/>
    </row>
    <row r="28" spans="1:31" x14ac:dyDescent="0.35">
      <c r="A28" s="7" t="s">
        <v>29</v>
      </c>
      <c r="B28" s="22">
        <v>3689.8</v>
      </c>
      <c r="C28" s="23">
        <v>3232.5</v>
      </c>
      <c r="D28" s="23">
        <v>377.3</v>
      </c>
      <c r="E28" s="23">
        <v>350.8</v>
      </c>
      <c r="F28" s="21">
        <f t="shared" si="2"/>
        <v>728.1</v>
      </c>
      <c r="G28" s="25">
        <f>VLOOKUP($A28,[3]gas_and_manu_2019!$A$6:$C$58,2,FALSE)</f>
        <v>1</v>
      </c>
      <c r="H28" s="25">
        <f>VLOOKUP($A28,[3]gas_and_manu_2019!$A$6:$C$58,3,FALSE)</f>
        <v>243.8</v>
      </c>
      <c r="J28" s="18">
        <f>B28/B$6</f>
        <v>2.444563697917702E-2</v>
      </c>
      <c r="K28" s="55">
        <f>C28/C$6</f>
        <v>2.5185825814594925E-2</v>
      </c>
      <c r="L28" s="19">
        <f>D28/D$6</f>
        <v>2.2761824324324324E-2</v>
      </c>
      <c r="M28" s="19">
        <f>E28/E$6</f>
        <v>2.2423932498082333E-2</v>
      </c>
      <c r="N28" s="58">
        <f>F28/F$6</f>
        <v>2.2597765363128491E-2</v>
      </c>
      <c r="O28" s="19">
        <f t="shared" si="3"/>
        <v>1.3605442176870747E-3</v>
      </c>
      <c r="P28" s="20">
        <f t="shared" si="4"/>
        <v>1.8989017836280084E-2</v>
      </c>
      <c r="Q28" s="8"/>
      <c r="R28" s="43">
        <f t="shared" si="5"/>
        <v>352601.56140432897</v>
      </c>
      <c r="S28" s="44">
        <f t="shared" si="6"/>
        <v>316368.71508379886</v>
      </c>
      <c r="T28" s="82">
        <f t="shared" si="7"/>
        <v>334485.13824406394</v>
      </c>
      <c r="U28" s="19">
        <f t="shared" si="8"/>
        <v>0.22524361948955918</v>
      </c>
      <c r="V28" s="20">
        <f t="shared" si="1"/>
        <v>0.10347568081796255</v>
      </c>
      <c r="X28" s="66" t="s">
        <v>29</v>
      </c>
      <c r="Y28" s="25">
        <f>$Y$6*SUMPRODUCT($Y$3:$AD$3,$K28:$P28)</f>
        <v>334485.13824406394</v>
      </c>
      <c r="Z28" s="8"/>
      <c r="AA28" s="83"/>
      <c r="AB28" s="83"/>
      <c r="AC28" s="83"/>
      <c r="AD28" s="83"/>
      <c r="AE28" s="84"/>
    </row>
    <row r="29" spans="1:31" x14ac:dyDescent="0.35">
      <c r="A29" s="7" t="s">
        <v>30</v>
      </c>
      <c r="B29" s="22">
        <v>4432.6000000000004</v>
      </c>
      <c r="C29" s="23">
        <v>3819.3</v>
      </c>
      <c r="D29" s="23">
        <v>434.2</v>
      </c>
      <c r="E29" s="23">
        <v>464.3</v>
      </c>
      <c r="F29" s="21">
        <f t="shared" si="2"/>
        <v>898.5</v>
      </c>
      <c r="G29" s="25">
        <f>VLOOKUP($A29,[3]gas_and_manu_2019!$A$6:$C$58,2,FALSE)</f>
        <v>7.3</v>
      </c>
      <c r="H29" s="25">
        <f>VLOOKUP($A29,[3]gas_and_manu_2019!$A$6:$C$58,3,FALSE)</f>
        <v>627.20000000000005</v>
      </c>
      <c r="J29" s="18">
        <f>B29/B$6</f>
        <v>2.9366830308932751E-2</v>
      </c>
      <c r="K29" s="55">
        <f>C29/C$6</f>
        <v>2.975784208311907E-2</v>
      </c>
      <c r="L29" s="19">
        <f>D29/D$6</f>
        <v>2.6194498069498067E-2</v>
      </c>
      <c r="M29" s="19">
        <f>E29/E$6</f>
        <v>2.9679110201994374E-2</v>
      </c>
      <c r="N29" s="58">
        <f>F29/F$6</f>
        <v>2.7886405959031656E-2</v>
      </c>
      <c r="O29" s="19">
        <f t="shared" si="3"/>
        <v>9.9319727891156468E-3</v>
      </c>
      <c r="P29" s="20">
        <f t="shared" si="4"/>
        <v>4.8851156632136461E-2</v>
      </c>
      <c r="Q29" s="8"/>
      <c r="R29" s="43">
        <f t="shared" si="5"/>
        <v>416609.78916366701</v>
      </c>
      <c r="S29" s="44">
        <f t="shared" si="6"/>
        <v>390409.6834264432</v>
      </c>
      <c r="T29" s="82">
        <f t="shared" si="7"/>
        <v>403509.73629505513</v>
      </c>
      <c r="U29" s="19">
        <f t="shared" si="8"/>
        <v>0.23525253318670961</v>
      </c>
      <c r="V29" s="20">
        <f t="shared" si="1"/>
        <v>0.10565018100045954</v>
      </c>
      <c r="X29" s="66" t="s">
        <v>30</v>
      </c>
      <c r="Y29" s="25">
        <f>$Y$6*SUMPRODUCT($Y$3:$AD$3,$K29:$P29)</f>
        <v>403509.73629505507</v>
      </c>
      <c r="Z29" s="8"/>
      <c r="AA29" s="83"/>
      <c r="AB29" s="83"/>
      <c r="AC29" s="83"/>
      <c r="AD29" s="83"/>
      <c r="AE29" s="84"/>
    </row>
    <row r="30" spans="1:31" x14ac:dyDescent="0.35">
      <c r="A30" s="7" t="s">
        <v>31</v>
      </c>
      <c r="B30" s="22">
        <v>2977.6</v>
      </c>
      <c r="C30" s="23">
        <v>2551.1999999999998</v>
      </c>
      <c r="D30" s="23">
        <v>275.60000000000002</v>
      </c>
      <c r="E30" s="23">
        <v>292.8</v>
      </c>
      <c r="F30" s="21">
        <f t="shared" si="2"/>
        <v>568.40000000000009</v>
      </c>
      <c r="G30" s="25">
        <f>VLOOKUP($A30,[3]gas_and_manu_2019!$A$6:$C$58,2,FALSE)</f>
        <v>6.6</v>
      </c>
      <c r="H30" s="25">
        <f>VLOOKUP($A30,[3]gas_and_manu_2019!$A$6:$C$58,3,FALSE)</f>
        <v>323.8</v>
      </c>
      <c r="J30" s="18">
        <f>B30/B$6</f>
        <v>1.9727174553958882E-2</v>
      </c>
      <c r="K30" s="55">
        <f>C30/C$6</f>
        <v>1.9877518582581459E-2</v>
      </c>
      <c r="L30" s="19">
        <f>D30/D$6</f>
        <v>1.6626447876447879E-2</v>
      </c>
      <c r="M30" s="19">
        <f>E30/E$6</f>
        <v>1.8716440807977502E-2</v>
      </c>
      <c r="N30" s="58">
        <f>F30/F$6</f>
        <v>1.7641216635630046E-2</v>
      </c>
      <c r="O30" s="19">
        <f t="shared" si="3"/>
        <v>8.979591836734694E-3</v>
      </c>
      <c r="P30" s="20">
        <f t="shared" si="4"/>
        <v>2.5220032712828102E-2</v>
      </c>
      <c r="Q30" s="8"/>
      <c r="R30" s="43">
        <f t="shared" si="5"/>
        <v>278285.26015614043</v>
      </c>
      <c r="S30" s="44">
        <f t="shared" si="6"/>
        <v>246977.03289882065</v>
      </c>
      <c r="T30" s="82">
        <f t="shared" si="7"/>
        <v>262631.14652748057</v>
      </c>
      <c r="U30" s="19">
        <f t="shared" si="8"/>
        <v>0.22279711508309821</v>
      </c>
      <c r="V30" s="20">
        <f t="shared" si="1"/>
        <v>0.10294416216975563</v>
      </c>
      <c r="X30" s="66" t="s">
        <v>31</v>
      </c>
      <c r="Y30" s="25">
        <f>$Y$6*SUMPRODUCT($Y$3:$AD$3,$K30:$P30)</f>
        <v>262631.14652748051</v>
      </c>
      <c r="Z30" s="8"/>
      <c r="AA30" s="83"/>
      <c r="AB30" s="83"/>
      <c r="AC30" s="83"/>
      <c r="AD30" s="83"/>
      <c r="AE30" s="84"/>
    </row>
    <row r="31" spans="1:31" x14ac:dyDescent="0.35">
      <c r="A31" s="7" t="s">
        <v>32</v>
      </c>
      <c r="B31" s="22">
        <v>1158.4000000000001</v>
      </c>
      <c r="C31" s="23">
        <v>916.5</v>
      </c>
      <c r="D31" s="23">
        <v>136.4</v>
      </c>
      <c r="E31" s="23">
        <v>135.9</v>
      </c>
      <c r="F31" s="21">
        <f t="shared" si="2"/>
        <v>272.3</v>
      </c>
      <c r="G31" s="25">
        <f>VLOOKUP($A31,[3]gas_and_manu_2019!$A$6:$C$58,2,FALSE)</f>
        <v>6.8</v>
      </c>
      <c r="H31" s="25">
        <f>VLOOKUP($A31,[3]gas_and_manu_2019!$A$6:$C$58,3,FALSE)</f>
        <v>147.1</v>
      </c>
      <c r="J31" s="18">
        <f>B31/B$6</f>
        <v>7.6746235234101201E-3</v>
      </c>
      <c r="K31" s="55">
        <f>C31/C$6</f>
        <v>7.1408536300313213E-3</v>
      </c>
      <c r="L31" s="19">
        <f>D31/D$6</f>
        <v>8.228764478764479E-3</v>
      </c>
      <c r="M31" s="19">
        <f>E31/E$6</f>
        <v>8.6870365635387369E-3</v>
      </c>
      <c r="N31" s="58">
        <f>F31/F$6</f>
        <v>8.4512725015518323E-3</v>
      </c>
      <c r="O31" s="19">
        <f t="shared" si="3"/>
        <v>9.2517006802721093E-3</v>
      </c>
      <c r="P31" s="20">
        <f t="shared" si="4"/>
        <v>1.1457278604252667E-2</v>
      </c>
      <c r="Q31" s="8"/>
      <c r="R31" s="43">
        <f t="shared" si="5"/>
        <v>99971.950820438506</v>
      </c>
      <c r="S31" s="44">
        <f t="shared" si="6"/>
        <v>118317.81502172565</v>
      </c>
      <c r="T31" s="82">
        <f t="shared" si="7"/>
        <v>109144.88292108208</v>
      </c>
      <c r="U31" s="19">
        <f t="shared" si="8"/>
        <v>0.29710856519367157</v>
      </c>
      <c r="V31" s="20">
        <f t="shared" si="1"/>
        <v>0.11908879751345564</v>
      </c>
      <c r="X31" s="66" t="s">
        <v>32</v>
      </c>
      <c r="Y31" s="25">
        <f>$Y$6*SUMPRODUCT($Y$3:$AD$3,$K31:$P31)</f>
        <v>109144.88292108207</v>
      </c>
      <c r="Z31" s="8"/>
      <c r="AA31" s="8"/>
      <c r="AB31" s="8"/>
      <c r="AC31" s="8"/>
      <c r="AD31" s="8"/>
      <c r="AE31" s="63"/>
    </row>
    <row r="32" spans="1:31" x14ac:dyDescent="0.35">
      <c r="A32" s="7" t="s">
        <v>33</v>
      </c>
      <c r="B32" s="22">
        <v>2901.6</v>
      </c>
      <c r="C32" s="23">
        <v>2465.1</v>
      </c>
      <c r="D32" s="23">
        <v>308.5</v>
      </c>
      <c r="E32" s="23">
        <v>304.3</v>
      </c>
      <c r="F32" s="21">
        <f t="shared" si="2"/>
        <v>612.79999999999995</v>
      </c>
      <c r="G32" s="25">
        <f>VLOOKUP($A32,[3]gas_and_manu_2019!$A$6:$C$58,2,FALSE)</f>
        <v>4.4000000000000004</v>
      </c>
      <c r="H32" s="25">
        <f>VLOOKUP($A32,[3]gas_and_manu_2019!$A$6:$C$58,3,FALSE)</f>
        <v>277</v>
      </c>
      <c r="J32" s="18">
        <f>B32/B$6</f>
        <v>1.9223659889094268E-2</v>
      </c>
      <c r="K32" s="55">
        <f>C32/C$6</f>
        <v>1.9206675704735637E-2</v>
      </c>
      <c r="L32" s="19">
        <f>D32/D$6</f>
        <v>1.8611245173745173E-2</v>
      </c>
      <c r="M32" s="19">
        <f>E32/E$6</f>
        <v>1.9451546918946561E-2</v>
      </c>
      <c r="N32" s="58">
        <f>F32/F$6</f>
        <v>1.9019242706393543E-2</v>
      </c>
      <c r="O32" s="19">
        <f t="shared" si="3"/>
        <v>5.9863945578231296E-3</v>
      </c>
      <c r="P32" s="20">
        <f t="shared" si="4"/>
        <v>2.1574889010047511E-2</v>
      </c>
      <c r="Q32" s="8"/>
      <c r="R32" s="43">
        <f t="shared" si="5"/>
        <v>268893.45986629894</v>
      </c>
      <c r="S32" s="44">
        <f t="shared" si="6"/>
        <v>266269.39788950962</v>
      </c>
      <c r="T32" s="82">
        <f t="shared" si="7"/>
        <v>267581.42887790431</v>
      </c>
      <c r="U32" s="19">
        <f t="shared" si="8"/>
        <v>0.24859032087947749</v>
      </c>
      <c r="V32" s="20">
        <f t="shared" si="1"/>
        <v>0.10854790023849106</v>
      </c>
      <c r="X32" s="66" t="s">
        <v>33</v>
      </c>
      <c r="Y32" s="25">
        <f>$Y$6*SUMPRODUCT($Y$3:$AD$3,$K32:$P32)</f>
        <v>267581.42887790431</v>
      </c>
      <c r="Z32" s="8"/>
      <c r="AA32" s="8"/>
      <c r="AB32" s="8"/>
      <c r="AC32" s="8"/>
      <c r="AD32" s="8"/>
      <c r="AE32" s="63"/>
    </row>
    <row r="33" spans="1:31" x14ac:dyDescent="0.35">
      <c r="A33" s="7" t="s">
        <v>34</v>
      </c>
      <c r="B33" s="22">
        <v>483.8</v>
      </c>
      <c r="C33" s="23">
        <v>393</v>
      </c>
      <c r="D33" s="23">
        <v>66.8</v>
      </c>
      <c r="E33" s="23">
        <v>58.3</v>
      </c>
      <c r="F33" s="21">
        <f t="shared" si="2"/>
        <v>125.1</v>
      </c>
      <c r="G33" s="25">
        <f>VLOOKUP($A33,[3]gas_and_manu_2019!$A$6:$C$58,2,FALSE)</f>
        <v>7.3</v>
      </c>
      <c r="H33" s="25">
        <f>VLOOKUP($A33,[3]gas_and_manu_2019!$A$6:$C$58,3,FALSE)</f>
        <v>20.9</v>
      </c>
      <c r="J33" s="18">
        <f>B33/B$6</f>
        <v>3.2052683534407938E-3</v>
      </c>
      <c r="K33" s="55">
        <f>C33/C$6</f>
        <v>3.0620354354635127E-3</v>
      </c>
      <c r="L33" s="19">
        <f>D33/D$6</f>
        <v>4.02992277992278E-3</v>
      </c>
      <c r="M33" s="19">
        <f>E33/E$6</f>
        <v>3.7266683712605469E-3</v>
      </c>
      <c r="N33" s="58">
        <f>F33/F$6</f>
        <v>3.88268156424581E-3</v>
      </c>
      <c r="O33" s="19">
        <f t="shared" si="3"/>
        <v>9.9319727891156468E-3</v>
      </c>
      <c r="P33" s="20">
        <f t="shared" si="4"/>
        <v>1.6278526364981694E-3</v>
      </c>
      <c r="Q33" s="8"/>
      <c r="R33" s="43">
        <f t="shared" si="5"/>
        <v>42868.49609648918</v>
      </c>
      <c r="S33" s="44">
        <f t="shared" si="6"/>
        <v>54357.541899441341</v>
      </c>
      <c r="T33" s="82">
        <f t="shared" si="7"/>
        <v>48613.018997965264</v>
      </c>
      <c r="U33" s="19">
        <f t="shared" si="8"/>
        <v>0.31832061068702289</v>
      </c>
      <c r="V33" s="20">
        <f t="shared" si="1"/>
        <v>0.12369724935869024</v>
      </c>
      <c r="X33" s="66" t="s">
        <v>34</v>
      </c>
      <c r="Y33" s="25">
        <f>$Y$6*SUMPRODUCT($Y$3:$AD$3,$K33:$P33)</f>
        <v>48613.018997965257</v>
      </c>
      <c r="Z33" s="8"/>
      <c r="AA33" s="8"/>
      <c r="AB33" s="8"/>
      <c r="AC33" s="8"/>
      <c r="AD33" s="8"/>
      <c r="AE33" s="63"/>
    </row>
    <row r="34" spans="1:31" x14ac:dyDescent="0.35">
      <c r="A34" s="7" t="s">
        <v>35</v>
      </c>
      <c r="B34" s="22">
        <v>1027.0999999999999</v>
      </c>
      <c r="C34" s="23">
        <v>853.5</v>
      </c>
      <c r="D34" s="23">
        <v>94.1</v>
      </c>
      <c r="E34" s="23">
        <v>105.3</v>
      </c>
      <c r="F34" s="21">
        <f t="shared" si="2"/>
        <v>199.39999999999998</v>
      </c>
      <c r="G34" s="25">
        <f>VLOOKUP($A34,[3]gas_and_manu_2019!$A$6:$C$58,2,FALSE)</f>
        <v>1</v>
      </c>
      <c r="H34" s="25">
        <f>VLOOKUP($A34,[3]gas_and_manu_2019!$A$6:$C$58,3,FALSE)</f>
        <v>99.7</v>
      </c>
      <c r="J34" s="18">
        <f>B34/B$6</f>
        <v>6.80473568792691E-3</v>
      </c>
      <c r="K34" s="55">
        <f>C34/C$6</f>
        <v>6.6499929877051099E-3</v>
      </c>
      <c r="L34" s="19">
        <f>D34/D$6</f>
        <v>5.6768822393822391E-3</v>
      </c>
      <c r="M34" s="19">
        <f>E34/E$6</f>
        <v>6.7310150856558426E-3</v>
      </c>
      <c r="N34" s="58">
        <f>F34/F$6</f>
        <v>6.1887026691495959E-3</v>
      </c>
      <c r="O34" s="19">
        <f t="shared" si="3"/>
        <v>1.3605442176870747E-3</v>
      </c>
      <c r="P34" s="20">
        <f t="shared" si="4"/>
        <v>7.765402289897967E-3</v>
      </c>
      <c r="Q34" s="8"/>
      <c r="R34" s="43">
        <f t="shared" si="5"/>
        <v>93099.901827871538</v>
      </c>
      <c r="S34" s="44">
        <f t="shared" si="6"/>
        <v>86641.837368094348</v>
      </c>
      <c r="T34" s="82">
        <f t="shared" si="7"/>
        <v>89870.869597982935</v>
      </c>
      <c r="U34" s="19">
        <f t="shared" si="8"/>
        <v>0.23362624487404801</v>
      </c>
      <c r="V34" s="20">
        <f t="shared" si="1"/>
        <v>0.10529685951726178</v>
      </c>
      <c r="X34" s="66" t="s">
        <v>35</v>
      </c>
      <c r="Y34" s="25">
        <f>$Y$6*SUMPRODUCT($Y$3:$AD$3,$K34:$P34)</f>
        <v>89870.86959798295</v>
      </c>
      <c r="Z34" s="8"/>
      <c r="AA34" s="8"/>
      <c r="AB34" s="8"/>
      <c r="AC34" s="8"/>
      <c r="AD34" s="8"/>
      <c r="AE34" s="63"/>
    </row>
    <row r="35" spans="1:31" x14ac:dyDescent="0.35">
      <c r="A35" s="7" t="s">
        <v>36</v>
      </c>
      <c r="B35" s="22">
        <v>1417.8</v>
      </c>
      <c r="C35" s="23">
        <v>1252.5999999999999</v>
      </c>
      <c r="D35" s="23">
        <v>355.3</v>
      </c>
      <c r="E35" s="23">
        <v>148.4</v>
      </c>
      <c r="F35" s="21">
        <f t="shared" si="2"/>
        <v>503.70000000000005</v>
      </c>
      <c r="G35" s="25">
        <f>VLOOKUP($A35,[3]gas_and_manu_2019!$A$6:$C$58,2,FALSE)</f>
        <v>14.7</v>
      </c>
      <c r="H35" s="25">
        <f>VLOOKUP($A35,[3]gas_and_manu_2019!$A$6:$C$58,3,FALSE)</f>
        <v>59.4</v>
      </c>
      <c r="J35" s="18">
        <f>B35/B$6</f>
        <v>9.3931985769085524E-3</v>
      </c>
      <c r="K35" s="55">
        <f>C35/C$6</f>
        <v>9.7595561996478269E-3</v>
      </c>
      <c r="L35" s="19">
        <f>D35/D$6</f>
        <v>2.1434604247104246E-2</v>
      </c>
      <c r="M35" s="19">
        <f>E35/E$6</f>
        <v>9.4860649450268474E-3</v>
      </c>
      <c r="N35" s="58">
        <f>F35/F$6</f>
        <v>1.5633147113594044E-2</v>
      </c>
      <c r="O35" s="19">
        <f t="shared" si="3"/>
        <v>0.02</v>
      </c>
      <c r="P35" s="20">
        <f t="shared" si="4"/>
        <v>4.626528545836903E-3</v>
      </c>
      <c r="Q35" s="8"/>
      <c r="R35" s="43">
        <f t="shared" si="5"/>
        <v>136633.78679506958</v>
      </c>
      <c r="S35" s="44">
        <f t="shared" si="6"/>
        <v>218864.05959031661</v>
      </c>
      <c r="T35" s="82">
        <f t="shared" si="7"/>
        <v>177748.9231926931</v>
      </c>
      <c r="U35" s="19">
        <f t="shared" si="8"/>
        <v>0.4021235829474693</v>
      </c>
      <c r="V35" s="20">
        <f t="shared" si="1"/>
        <v>0.14190397827933346</v>
      </c>
      <c r="X35" s="66" t="s">
        <v>36</v>
      </c>
      <c r="Y35" s="25">
        <f>$Y$6*SUMPRODUCT($Y$3:$AD$3,$K35:$P35)</f>
        <v>177748.9231926931</v>
      </c>
      <c r="Z35" s="8"/>
      <c r="AA35" s="8"/>
      <c r="AB35" s="8"/>
      <c r="AC35" s="8"/>
      <c r="AD35" s="8"/>
      <c r="AE35" s="63"/>
    </row>
    <row r="36" spans="1:31" x14ac:dyDescent="0.35">
      <c r="A36" s="7" t="s">
        <v>37</v>
      </c>
      <c r="B36" s="22">
        <v>684.2</v>
      </c>
      <c r="C36" s="23">
        <v>593.79999999999995</v>
      </c>
      <c r="D36" s="23">
        <v>72.900000000000006</v>
      </c>
      <c r="E36" s="23">
        <v>93.8</v>
      </c>
      <c r="F36" s="21">
        <f t="shared" si="2"/>
        <v>166.7</v>
      </c>
      <c r="G36" s="25">
        <f>VLOOKUP($A36,[3]gas_and_manu_2019!$A$6:$C$58,2,FALSE)</f>
        <v>1</v>
      </c>
      <c r="H36" s="25">
        <f>VLOOKUP($A36,[3]gas_and_manu_2019!$A$6:$C$58,3,FALSE)</f>
        <v>71.5</v>
      </c>
      <c r="J36" s="18">
        <f>B36/B$6</f>
        <v>4.5329570223732766E-3</v>
      </c>
      <c r="K36" s="55">
        <f>C36/C$6</f>
        <v>4.6265563398937247E-3</v>
      </c>
      <c r="L36" s="19">
        <f>D36/D$6</f>
        <v>4.3979247104247105E-3</v>
      </c>
      <c r="M36" s="19">
        <f>E36/E$6</f>
        <v>5.9959089746867804E-3</v>
      </c>
      <c r="N36" s="58">
        <f>F36/F$6</f>
        <v>5.1738050900062066E-3</v>
      </c>
      <c r="O36" s="19">
        <f t="shared" si="3"/>
        <v>1.3605442176870747E-3</v>
      </c>
      <c r="P36" s="20">
        <f t="shared" si="4"/>
        <v>5.5689695459147908E-3</v>
      </c>
      <c r="Q36" s="8"/>
      <c r="R36" s="43">
        <f t="shared" si="5"/>
        <v>64771.788758512143</v>
      </c>
      <c r="S36" s="44">
        <f t="shared" si="6"/>
        <v>72433.271260086898</v>
      </c>
      <c r="T36" s="82">
        <f t="shared" si="7"/>
        <v>68602.530009299517</v>
      </c>
      <c r="U36" s="19">
        <f t="shared" si="8"/>
        <v>0.28073425395756146</v>
      </c>
      <c r="V36" s="20">
        <f t="shared" si="1"/>
        <v>0.11553137421572839</v>
      </c>
      <c r="X36" s="66" t="s">
        <v>37</v>
      </c>
      <c r="Y36" s="25">
        <f>$Y$6*SUMPRODUCT($Y$3:$AD$3,$K36:$P36)</f>
        <v>68602.530009299531</v>
      </c>
      <c r="Z36" s="8"/>
      <c r="AA36" s="8"/>
      <c r="AB36" s="8"/>
      <c r="AC36" s="8"/>
      <c r="AD36" s="8"/>
      <c r="AE36" s="63"/>
    </row>
    <row r="37" spans="1:31" x14ac:dyDescent="0.35">
      <c r="A37" s="7" t="s">
        <v>38</v>
      </c>
      <c r="B37" s="22">
        <v>4194.8999999999996</v>
      </c>
      <c r="C37" s="23">
        <v>3589</v>
      </c>
      <c r="D37" s="23">
        <v>394.2</v>
      </c>
      <c r="E37" s="23">
        <v>450.5</v>
      </c>
      <c r="F37" s="21">
        <f t="shared" si="2"/>
        <v>844.7</v>
      </c>
      <c r="G37" s="25">
        <f>VLOOKUP($A37,[3]gas_and_manu_2019!$A$6:$C$58,2,FALSE)</f>
        <v>1.4</v>
      </c>
      <c r="H37" s="25">
        <f>VLOOKUP($A37,[3]gas_and_manu_2019!$A$6:$C$58,3,FALSE)</f>
        <v>251.5</v>
      </c>
      <c r="J37" s="18">
        <f>B37/B$6</f>
        <v>2.7792021942639078E-2</v>
      </c>
      <c r="K37" s="55">
        <f>C37/C$6</f>
        <v>2.7963473735059915E-2</v>
      </c>
      <c r="L37" s="19">
        <f>D37/D$6</f>
        <v>2.3781370656370655E-2</v>
      </c>
      <c r="M37" s="19">
        <f>E37/E$6</f>
        <v>2.8796982868831502E-2</v>
      </c>
      <c r="N37" s="58">
        <f>F37/F$6</f>
        <v>2.6216635630043453E-2</v>
      </c>
      <c r="O37" s="19">
        <f t="shared" si="3"/>
        <v>1.9047619047619045E-3</v>
      </c>
      <c r="P37" s="20">
        <f t="shared" si="4"/>
        <v>1.9588753018147831E-2</v>
      </c>
      <c r="Q37" s="8"/>
      <c r="R37" s="43">
        <f t="shared" si="5"/>
        <v>391488.63229083881</v>
      </c>
      <c r="S37" s="44">
        <f t="shared" si="6"/>
        <v>367032.89882060833</v>
      </c>
      <c r="T37" s="82">
        <f t="shared" si="7"/>
        <v>379260.76555572357</v>
      </c>
      <c r="U37" s="19">
        <f t="shared" si="8"/>
        <v>0.23535803845082198</v>
      </c>
      <c r="V37" s="20">
        <f t="shared" si="1"/>
        <v>0.10567310269036601</v>
      </c>
      <c r="X37" s="66" t="s">
        <v>38</v>
      </c>
      <c r="Y37" s="25">
        <f>$Y$6*SUMPRODUCT($Y$3:$AD$3,$K37:$P37)</f>
        <v>379260.76555572357</v>
      </c>
      <c r="Z37" s="8"/>
      <c r="AA37" s="8"/>
      <c r="AB37" s="8"/>
      <c r="AC37" s="8"/>
      <c r="AD37" s="8"/>
      <c r="AE37" s="63"/>
    </row>
    <row r="38" spans="1:31" x14ac:dyDescent="0.35">
      <c r="A38" s="7" t="s">
        <v>39</v>
      </c>
      <c r="B38" s="22">
        <v>856.9</v>
      </c>
      <c r="C38" s="23">
        <v>668.2</v>
      </c>
      <c r="D38" s="23">
        <v>98.8</v>
      </c>
      <c r="E38" s="23">
        <v>89.6</v>
      </c>
      <c r="F38" s="21">
        <f t="shared" si="2"/>
        <v>188.39999999999998</v>
      </c>
      <c r="G38" s="25">
        <f>VLOOKUP($A38,[3]gas_and_manu_2019!$A$6:$C$58,2,FALSE)</f>
        <v>26.1</v>
      </c>
      <c r="H38" s="25">
        <f>VLOOKUP($A38,[3]gas_and_manu_2019!$A$6:$C$58,3,FALSE)</f>
        <v>28.5</v>
      </c>
      <c r="J38" s="18">
        <f>B38/B$6</f>
        <v>5.6771278463485248E-3</v>
      </c>
      <c r="K38" s="55">
        <f>C38/C$6</f>
        <v>5.2062393841646806E-3</v>
      </c>
      <c r="L38" s="19">
        <f>D38/D$6</f>
        <v>5.9604247104247101E-3</v>
      </c>
      <c r="M38" s="19">
        <f>E38/E$6</f>
        <v>5.7274354385067755E-3</v>
      </c>
      <c r="N38" s="58">
        <f>F38/F$6</f>
        <v>5.8472998137802596E-3</v>
      </c>
      <c r="O38" s="19">
        <f t="shared" si="3"/>
        <v>3.5510204081632656E-2</v>
      </c>
      <c r="P38" s="20">
        <f t="shared" si="4"/>
        <v>2.2197990497702315E-3</v>
      </c>
      <c r="Q38" s="8"/>
      <c r="R38" s="43">
        <f t="shared" si="5"/>
        <v>72887.351378305524</v>
      </c>
      <c r="S38" s="44">
        <f t="shared" si="6"/>
        <v>81862.197392923641</v>
      </c>
      <c r="T38" s="82">
        <f t="shared" si="7"/>
        <v>77374.774385614583</v>
      </c>
      <c r="U38" s="19">
        <f t="shared" si="8"/>
        <v>0.2819515115234959</v>
      </c>
      <c r="V38" s="20">
        <f t="shared" ref="V38:V57" si="9">T38/($C38*1000)</f>
        <v>0.11579583116673837</v>
      </c>
      <c r="X38" s="66" t="s">
        <v>39</v>
      </c>
      <c r="Y38" s="25">
        <f>$Y$6*SUMPRODUCT($Y$3:$AD$3,$K38:$P38)</f>
        <v>77374.774385614583</v>
      </c>
      <c r="Z38" s="8"/>
      <c r="AA38" s="8"/>
      <c r="AB38" s="8"/>
      <c r="AC38" s="8"/>
      <c r="AD38" s="8"/>
      <c r="AE38" s="63"/>
    </row>
    <row r="39" spans="1:31" x14ac:dyDescent="0.35">
      <c r="A39" s="7" t="s">
        <v>40</v>
      </c>
      <c r="B39" s="22">
        <v>9785.5</v>
      </c>
      <c r="C39" s="23">
        <v>8297</v>
      </c>
      <c r="D39" s="23">
        <v>959.9</v>
      </c>
      <c r="E39" s="23">
        <v>915.6</v>
      </c>
      <c r="F39" s="21">
        <f t="shared" si="2"/>
        <v>1875.5</v>
      </c>
      <c r="G39" s="25">
        <f>VLOOKUP($A39,[3]gas_and_manu_2019!$A$6:$C$58,2,FALSE)</f>
        <v>5.3</v>
      </c>
      <c r="H39" s="25">
        <f>VLOOKUP($A39,[3]gas_and_manu_2019!$A$6:$C$58,3,FALSE)</f>
        <v>439.2</v>
      </c>
      <c r="J39" s="18">
        <f>B39/B$6</f>
        <v>6.4830825697798453E-2</v>
      </c>
      <c r="K39" s="55">
        <f>C39/C$6</f>
        <v>6.46455674504854E-2</v>
      </c>
      <c r="L39" s="19">
        <f>D39/D$6</f>
        <v>5.7909025096525096E-2</v>
      </c>
      <c r="M39" s="19">
        <f>E39/E$6</f>
        <v>5.8527230887241113E-2</v>
      </c>
      <c r="N39" s="58">
        <f>F39/F$6</f>
        <v>5.8209186840471758E-2</v>
      </c>
      <c r="O39" s="19">
        <f t="shared" si="3"/>
        <v>7.210884353741496E-3</v>
      </c>
      <c r="P39" s="20">
        <f t="shared" si="4"/>
        <v>3.4208271672248616E-2</v>
      </c>
      <c r="Q39" s="8"/>
      <c r="R39" s="43">
        <f t="shared" si="5"/>
        <v>905037.9443067956</v>
      </c>
      <c r="S39" s="44">
        <f t="shared" si="6"/>
        <v>814928.61576660466</v>
      </c>
      <c r="T39" s="82">
        <f t="shared" si="7"/>
        <v>859983.28003670019</v>
      </c>
      <c r="U39" s="19">
        <f t="shared" si="8"/>
        <v>0.22604555863565143</v>
      </c>
      <c r="V39" s="20">
        <f t="shared" si="9"/>
        <v>0.10364990719979512</v>
      </c>
      <c r="X39" s="66" t="s">
        <v>40</v>
      </c>
      <c r="Y39" s="25">
        <f>$Y$6*SUMPRODUCT($Y$3:$AD$3,$K39:$P39)</f>
        <v>859983.28003670007</v>
      </c>
      <c r="Z39" s="8"/>
      <c r="AA39" s="8"/>
      <c r="AB39" s="8"/>
      <c r="AC39" s="8"/>
      <c r="AD39" s="8"/>
      <c r="AE39" s="63"/>
    </row>
    <row r="40" spans="1:31" x14ac:dyDescent="0.35">
      <c r="A40" s="7" t="s">
        <v>41</v>
      </c>
      <c r="B40" s="22">
        <v>4574.2</v>
      </c>
      <c r="C40" s="23">
        <v>3841.7</v>
      </c>
      <c r="D40" s="23">
        <v>516.29999999999995</v>
      </c>
      <c r="E40" s="23">
        <v>499.9</v>
      </c>
      <c r="F40" s="21">
        <f t="shared" si="2"/>
        <v>1016.1999999999999</v>
      </c>
      <c r="G40" s="25">
        <f>VLOOKUP($A40,[3]gas_and_manu_2019!$A$6:$C$58,2,FALSE)</f>
        <v>5.7</v>
      </c>
      <c r="H40" s="25">
        <f>VLOOKUP($A40,[3]gas_and_manu_2019!$A$6:$C$58,3,FALSE)</f>
        <v>478.3</v>
      </c>
      <c r="J40" s="18">
        <f>B40/B$6</f>
        <v>3.0304957631891026E-2</v>
      </c>
      <c r="K40" s="55">
        <f>C40/C$6</f>
        <v>2.993237031150172E-2</v>
      </c>
      <c r="L40" s="19">
        <f>D40/D$6</f>
        <v>3.1147442084942082E-2</v>
      </c>
      <c r="M40" s="19">
        <f>E40/E$6</f>
        <v>3.1954743032472512E-2</v>
      </c>
      <c r="N40" s="58">
        <f>F40/F$6</f>
        <v>3.1539416511483551E-2</v>
      </c>
      <c r="O40" s="19">
        <f t="shared" si="3"/>
        <v>7.7551020408163267E-3</v>
      </c>
      <c r="P40" s="20">
        <f t="shared" si="4"/>
        <v>3.7253680193161463E-2</v>
      </c>
      <c r="Q40" s="8"/>
      <c r="R40" s="43">
        <f t="shared" si="5"/>
        <v>419053.18436102406</v>
      </c>
      <c r="S40" s="44">
        <f t="shared" si="6"/>
        <v>441551.83116076968</v>
      </c>
      <c r="T40" s="82">
        <f t="shared" si="7"/>
        <v>430302.50776089687</v>
      </c>
      <c r="U40" s="19">
        <f t="shared" si="8"/>
        <v>0.26451831220553401</v>
      </c>
      <c r="V40" s="20">
        <f t="shared" si="9"/>
        <v>0.11200835769604521</v>
      </c>
      <c r="X40" s="66" t="s">
        <v>41</v>
      </c>
      <c r="Y40" s="25">
        <f>$Y$6*SUMPRODUCT($Y$3:$AD$3,$K40:$P40)</f>
        <v>430302.50776089687</v>
      </c>
      <c r="Z40" s="8"/>
      <c r="AA40" s="8"/>
      <c r="AB40" s="8"/>
      <c r="AC40" s="8"/>
      <c r="AD40" s="8"/>
      <c r="AE40" s="63"/>
    </row>
    <row r="41" spans="1:31" x14ac:dyDescent="0.35">
      <c r="A41" s="7" t="s">
        <v>42</v>
      </c>
      <c r="B41" s="22">
        <v>439.2</v>
      </c>
      <c r="C41" s="23">
        <v>356.1</v>
      </c>
      <c r="D41" s="23">
        <v>40.5</v>
      </c>
      <c r="E41" s="23">
        <v>45.5</v>
      </c>
      <c r="F41" s="21">
        <f t="shared" si="2"/>
        <v>86</v>
      </c>
      <c r="G41" s="25">
        <f>VLOOKUP($A41,[3]gas_and_manu_2019!$A$6:$C$58,2,FALSE)</f>
        <v>21.3</v>
      </c>
      <c r="H41" s="25">
        <f>VLOOKUP($A41,[3]gas_and_manu_2019!$A$6:$C$58,3,FALSE)</f>
        <v>26.4</v>
      </c>
      <c r="J41" s="18">
        <f>B41/B$6</f>
        <v>2.9097847474807703E-3</v>
      </c>
      <c r="K41" s="55">
        <f>C41/C$6</f>
        <v>2.7745313449581603E-3</v>
      </c>
      <c r="L41" s="19">
        <f>D41/D$6</f>
        <v>2.4432915057915057E-3</v>
      </c>
      <c r="M41" s="19">
        <f>E41/E$6</f>
        <v>2.908463308616722E-3</v>
      </c>
      <c r="N41" s="58">
        <f>F41/F$6</f>
        <v>2.669149596523898E-3</v>
      </c>
      <c r="O41" s="19">
        <f t="shared" si="3"/>
        <v>2.8979591836734694E-2</v>
      </c>
      <c r="P41" s="20">
        <f t="shared" si="4"/>
        <v>2.0562349092608455E-3</v>
      </c>
      <c r="Q41" s="8"/>
      <c r="R41" s="43">
        <f t="shared" si="5"/>
        <v>38843.438829414248</v>
      </c>
      <c r="S41" s="44">
        <f t="shared" si="6"/>
        <v>37368.09435133457</v>
      </c>
      <c r="T41" s="82">
        <f t="shared" si="7"/>
        <v>38105.766590374405</v>
      </c>
      <c r="U41" s="19">
        <f t="shared" si="8"/>
        <v>0.24150519516989608</v>
      </c>
      <c r="V41" s="20">
        <f t="shared" si="9"/>
        <v>0.10700861159891717</v>
      </c>
      <c r="X41" s="66" t="s">
        <v>42</v>
      </c>
      <c r="Y41" s="25">
        <f>$Y$6*SUMPRODUCT($Y$3:$AD$3,$K41:$P41)</f>
        <v>38105.766590374405</v>
      </c>
      <c r="Z41" s="8"/>
      <c r="AA41" s="8"/>
      <c r="AB41" s="8"/>
      <c r="AC41" s="8"/>
      <c r="AD41" s="8"/>
      <c r="AE41" s="63"/>
    </row>
    <row r="42" spans="1:31" x14ac:dyDescent="0.35">
      <c r="A42" s="7" t="s">
        <v>43</v>
      </c>
      <c r="B42" s="22">
        <v>5586.8</v>
      </c>
      <c r="C42" s="23">
        <v>4800.8</v>
      </c>
      <c r="D42" s="23">
        <v>568.6</v>
      </c>
      <c r="E42" s="23">
        <v>552.4</v>
      </c>
      <c r="F42" s="21">
        <f t="shared" si="2"/>
        <v>1121</v>
      </c>
      <c r="G42" s="25">
        <f>VLOOKUP($A42,[3]gas_and_manu_2019!$A$6:$C$58,2,FALSE)</f>
        <v>11.9</v>
      </c>
      <c r="H42" s="25">
        <f>VLOOKUP($A42,[3]gas_and_manu_2019!$A$6:$C$58,3,FALSE)</f>
        <v>701.4</v>
      </c>
      <c r="J42" s="18">
        <f>B42/B$6</f>
        <v>3.7013628021916142E-2</v>
      </c>
      <c r="K42" s="55">
        <f>C42/C$6</f>
        <v>3.7405139233010767E-2</v>
      </c>
      <c r="L42" s="19">
        <f>D42/D$6</f>
        <v>3.4302606177606179E-2</v>
      </c>
      <c r="M42" s="19">
        <f>E42/E$6</f>
        <v>3.5310662234722574E-2</v>
      </c>
      <c r="N42" s="58">
        <f>F42/F$6</f>
        <v>3.4792054624456857E-2</v>
      </c>
      <c r="O42" s="19">
        <f t="shared" si="3"/>
        <v>1.6190476190476193E-2</v>
      </c>
      <c r="P42" s="20">
        <f t="shared" si="4"/>
        <v>5.4630422930134745E-2</v>
      </c>
      <c r="Q42" s="8"/>
      <c r="R42" s="43">
        <f t="shared" si="5"/>
        <v>523671.94926215074</v>
      </c>
      <c r="S42" s="44">
        <f t="shared" si="6"/>
        <v>487088.76474239602</v>
      </c>
      <c r="T42" s="82">
        <f t="shared" si="7"/>
        <v>505380.35700227338</v>
      </c>
      <c r="U42" s="19">
        <f t="shared" si="8"/>
        <v>0.23350274954174302</v>
      </c>
      <c r="V42" s="20">
        <f t="shared" si="9"/>
        <v>0.10527002937057853</v>
      </c>
      <c r="X42" s="66" t="s">
        <v>43</v>
      </c>
      <c r="Y42" s="25">
        <f>$Y$6*SUMPRODUCT($Y$3:$AD$3,$K42:$P42)</f>
        <v>505380.35700227332</v>
      </c>
      <c r="Z42" s="8"/>
      <c r="AA42" s="8"/>
      <c r="AB42" s="8"/>
      <c r="AC42" s="8"/>
      <c r="AD42" s="8"/>
      <c r="AE42" s="63"/>
    </row>
    <row r="43" spans="1:31" x14ac:dyDescent="0.35">
      <c r="A43" s="7" t="s">
        <v>44</v>
      </c>
      <c r="B43" s="22">
        <v>1703.4</v>
      </c>
      <c r="C43" s="23">
        <v>1350.3</v>
      </c>
      <c r="D43" s="23">
        <v>174.7</v>
      </c>
      <c r="E43" s="23">
        <v>176.3</v>
      </c>
      <c r="F43" s="21">
        <f t="shared" si="2"/>
        <v>351</v>
      </c>
      <c r="G43" s="25">
        <f>VLOOKUP($A43,[3]gas_and_manu_2019!$A$6:$C$58,2,FALSE)</f>
        <v>48.7</v>
      </c>
      <c r="H43" s="25">
        <f>VLOOKUP($A43,[3]gas_and_manu_2019!$A$6:$C$58,3,FALSE)</f>
        <v>140.80000000000001</v>
      </c>
      <c r="J43" s="18">
        <f>B43/B$6</f>
        <v>1.1285353685926104E-2</v>
      </c>
      <c r="K43" s="55">
        <f>C43/C$6</f>
        <v>1.0520779767191809E-2</v>
      </c>
      <c r="L43" s="19">
        <f>D43/D$6</f>
        <v>1.0539333976833976E-2</v>
      </c>
      <c r="M43" s="19">
        <f>E43/E$6</f>
        <v>1.1269496292508311E-2</v>
      </c>
      <c r="N43" s="58">
        <f>F43/F$6</f>
        <v>1.0893854748603353E-2</v>
      </c>
      <c r="O43" s="19">
        <f t="shared" si="3"/>
        <v>6.6258503401360552E-2</v>
      </c>
      <c r="P43" s="20">
        <f t="shared" si="4"/>
        <v>1.0966586182724513E-2</v>
      </c>
      <c r="Q43" s="8"/>
      <c r="R43" s="43">
        <f t="shared" si="5"/>
        <v>147290.91674068532</v>
      </c>
      <c r="S43" s="44">
        <f t="shared" si="6"/>
        <v>152513.96648044695</v>
      </c>
      <c r="T43" s="82">
        <f t="shared" si="7"/>
        <v>149902.44161056614</v>
      </c>
      <c r="U43" s="19">
        <f t="shared" si="8"/>
        <v>0.25994223505887581</v>
      </c>
      <c r="V43" s="20">
        <f t="shared" si="9"/>
        <v>0.11101417582060738</v>
      </c>
      <c r="X43" s="66" t="s">
        <v>44</v>
      </c>
      <c r="Y43" s="25">
        <f>$Y$6*SUMPRODUCT($Y$3:$AD$3,$K43:$P43)</f>
        <v>149902.44161056614</v>
      </c>
      <c r="Z43" s="8"/>
      <c r="AA43" s="8"/>
      <c r="AB43" s="8"/>
      <c r="AC43" s="8"/>
      <c r="AD43" s="8"/>
      <c r="AE43" s="63"/>
    </row>
    <row r="44" spans="1:31" x14ac:dyDescent="0.35">
      <c r="A44" s="7" t="s">
        <v>45</v>
      </c>
      <c r="B44" s="22">
        <v>1940.5</v>
      </c>
      <c r="C44" s="23">
        <v>1641.7</v>
      </c>
      <c r="D44" s="23">
        <v>214</v>
      </c>
      <c r="E44" s="23">
        <v>209.8</v>
      </c>
      <c r="F44" s="21">
        <f t="shared" si="2"/>
        <v>423.8</v>
      </c>
      <c r="G44" s="25">
        <f>VLOOKUP($A44,[3]gas_and_manu_2019!$A$6:$C$58,2,FALSE)</f>
        <v>6.9</v>
      </c>
      <c r="H44" s="25">
        <f>VLOOKUP($A44,[3]gas_and_manu_2019!$A$6:$C$58,3,FALSE)</f>
        <v>197.7</v>
      </c>
      <c r="J44" s="18">
        <f>B44/B$6</f>
        <v>1.2856186936444525E-2</v>
      </c>
      <c r="K44" s="55">
        <f>C44/C$6</f>
        <v>1.2791205023919717E-2</v>
      </c>
      <c r="L44" s="19">
        <f>D44/D$6</f>
        <v>1.291023166023166E-2</v>
      </c>
      <c r="M44" s="19">
        <f>E44/E$6</f>
        <v>1.3410892354896446E-2</v>
      </c>
      <c r="N44" s="58">
        <f>F44/F$6</f>
        <v>1.3153320918684047E-2</v>
      </c>
      <c r="O44" s="19">
        <f t="shared" si="3"/>
        <v>9.3877551020408161E-3</v>
      </c>
      <c r="P44" s="20">
        <f t="shared" si="4"/>
        <v>1.5398395513669288E-2</v>
      </c>
      <c r="Q44" s="8"/>
      <c r="R44" s="43">
        <f t="shared" si="5"/>
        <v>179076.87033487603</v>
      </c>
      <c r="S44" s="44">
        <f t="shared" si="6"/>
        <v>184146.49286157667</v>
      </c>
      <c r="T44" s="82">
        <f t="shared" si="7"/>
        <v>181611.68159822637</v>
      </c>
      <c r="U44" s="19">
        <f t="shared" si="8"/>
        <v>0.25814704269964062</v>
      </c>
      <c r="V44" s="20">
        <f t="shared" si="9"/>
        <v>0.11062415885863822</v>
      </c>
      <c r="X44" s="66" t="s">
        <v>45</v>
      </c>
      <c r="Y44" s="25">
        <f>$Y$6*SUMPRODUCT($Y$3:$AD$3,$K44:$P44)</f>
        <v>181611.68159822634</v>
      </c>
      <c r="Z44" s="8"/>
      <c r="AA44" s="8"/>
      <c r="AB44" s="8"/>
      <c r="AC44" s="8"/>
      <c r="AD44" s="8"/>
      <c r="AE44" s="63"/>
    </row>
    <row r="45" spans="1:31" x14ac:dyDescent="0.35">
      <c r="A45" s="7" t="s">
        <v>46</v>
      </c>
      <c r="B45" s="22">
        <v>6063.7</v>
      </c>
      <c r="C45" s="23">
        <v>5357.2</v>
      </c>
      <c r="D45" s="23">
        <v>577.4</v>
      </c>
      <c r="E45" s="23">
        <v>608.29999999999995</v>
      </c>
      <c r="F45" s="21">
        <f t="shared" si="2"/>
        <v>1185.6999999999998</v>
      </c>
      <c r="G45" s="25">
        <f>VLOOKUP($A45,[3]gas_and_manu_2019!$A$6:$C$58,2,FALSE)</f>
        <v>29.1</v>
      </c>
      <c r="H45" s="25">
        <f>VLOOKUP($A45,[3]gas_and_manu_2019!$A$6:$C$58,3,FALSE)</f>
        <v>575.4</v>
      </c>
      <c r="J45" s="18">
        <f>B45/B$6</f>
        <v>4.0173182543941588E-2</v>
      </c>
      <c r="K45" s="55">
        <f>C45/C$6</f>
        <v>4.1740295763015599E-2</v>
      </c>
      <c r="L45" s="19">
        <f>D45/D$6</f>
        <v>3.4833494208494208E-2</v>
      </c>
      <c r="M45" s="19">
        <f>E45/E$6</f>
        <v>3.8883917156737405E-2</v>
      </c>
      <c r="N45" s="58">
        <f>F45/F$6</f>
        <v>3.6800124146492856E-2</v>
      </c>
      <c r="O45" s="19">
        <f t="shared" si="3"/>
        <v>3.959183673469388E-2</v>
      </c>
      <c r="P45" s="20">
        <f t="shared" si="4"/>
        <v>4.4816574499571618E-2</v>
      </c>
      <c r="Q45" s="8"/>
      <c r="R45" s="43">
        <f t="shared" si="5"/>
        <v>584364.14068221836</v>
      </c>
      <c r="S45" s="44">
        <f t="shared" si="6"/>
        <v>515201.73805089999</v>
      </c>
      <c r="T45" s="82">
        <f t="shared" si="7"/>
        <v>549782.93936655915</v>
      </c>
      <c r="U45" s="19">
        <f t="shared" si="8"/>
        <v>0.22132830583140445</v>
      </c>
      <c r="V45" s="20">
        <f t="shared" si="9"/>
        <v>0.10262505401451488</v>
      </c>
      <c r="X45" s="66" t="s">
        <v>46</v>
      </c>
      <c r="Y45" s="25">
        <f>$Y$6*SUMPRODUCT($Y$3:$AD$3,$K45:$P45)</f>
        <v>549782.93936655915</v>
      </c>
      <c r="Z45" s="8"/>
      <c r="AA45" s="8"/>
      <c r="AB45" s="8"/>
      <c r="AC45" s="8"/>
      <c r="AD45" s="8"/>
      <c r="AE45" s="63"/>
    </row>
    <row r="46" spans="1:31" x14ac:dyDescent="0.35">
      <c r="A46" s="7" t="s">
        <v>47</v>
      </c>
      <c r="B46" s="22">
        <v>503.6</v>
      </c>
      <c r="C46" s="23">
        <v>438.3</v>
      </c>
      <c r="D46" s="23">
        <v>60</v>
      </c>
      <c r="E46" s="23">
        <v>48.1</v>
      </c>
      <c r="F46" s="21">
        <f t="shared" si="2"/>
        <v>108.1</v>
      </c>
      <c r="G46" s="25">
        <f>VLOOKUP($A46,[3]gas_and_manu_2019!$A$6:$C$58,2,FALSE)</f>
        <v>0.3</v>
      </c>
      <c r="H46" s="25">
        <f>VLOOKUP($A46,[3]gas_and_manu_2019!$A$6:$C$58,3,FALSE)</f>
        <v>39.700000000000003</v>
      </c>
      <c r="J46" s="18">
        <f>B46/B$6</f>
        <v>3.3364471740239435E-3</v>
      </c>
      <c r="K46" s="55">
        <f>C46/C$6</f>
        <v>3.4149876116123606E-3</v>
      </c>
      <c r="L46" s="19">
        <f>D46/D$6</f>
        <v>3.6196911196911198E-3</v>
      </c>
      <c r="M46" s="19">
        <f>E46/E$6</f>
        <v>3.074661211966249E-3</v>
      </c>
      <c r="N46" s="58">
        <f>F46/F$6</f>
        <v>3.3550589695841089E-3</v>
      </c>
      <c r="O46" s="19">
        <f t="shared" si="3"/>
        <v>4.0816326530612241E-4</v>
      </c>
      <c r="P46" s="20">
        <f t="shared" si="4"/>
        <v>3.0921411324869542E-3</v>
      </c>
      <c r="Q46" s="8"/>
      <c r="R46" s="43">
        <f t="shared" si="5"/>
        <v>47809.826562573049</v>
      </c>
      <c r="S46" s="44">
        <f t="shared" si="6"/>
        <v>46970.825574177528</v>
      </c>
      <c r="T46" s="82">
        <f t="shared" si="7"/>
        <v>47390.326068375289</v>
      </c>
      <c r="U46" s="19">
        <f t="shared" si="8"/>
        <v>0.2466347250741501</v>
      </c>
      <c r="V46" s="20">
        <f t="shared" si="9"/>
        <v>0.10812303460729018</v>
      </c>
      <c r="X46" s="66" t="s">
        <v>47</v>
      </c>
      <c r="Y46" s="25">
        <f>$Y$6*SUMPRODUCT($Y$3:$AD$3,$K46:$P46)</f>
        <v>47390.326068375289</v>
      </c>
      <c r="Z46" s="8"/>
      <c r="AA46" s="8"/>
      <c r="AB46" s="8"/>
      <c r="AC46" s="8"/>
      <c r="AD46" s="8"/>
      <c r="AE46" s="63"/>
    </row>
    <row r="47" spans="1:31" x14ac:dyDescent="0.35">
      <c r="A47" s="7" t="s">
        <v>48</v>
      </c>
      <c r="B47" s="22">
        <v>2189.4</v>
      </c>
      <c r="C47" s="23">
        <v>1817.3</v>
      </c>
      <c r="D47" s="23">
        <v>271.5</v>
      </c>
      <c r="E47" s="23">
        <v>251.8</v>
      </c>
      <c r="F47" s="21">
        <f t="shared" si="2"/>
        <v>523.29999999999995</v>
      </c>
      <c r="G47" s="25">
        <f>VLOOKUP($A47,[3]gas_and_manu_2019!$A$6:$C$58,2,FALSE)</f>
        <v>4.4000000000000004</v>
      </c>
      <c r="H47" s="25">
        <f>VLOOKUP($A47,[3]gas_and_manu_2019!$A$6:$C$58,3,FALSE)</f>
        <v>258.2</v>
      </c>
      <c r="J47" s="18">
        <f>B47/B$6</f>
        <v>1.4505197463876136E-2</v>
      </c>
      <c r="K47" s="55">
        <f>C47/C$6</f>
        <v>1.4159381671419445E-2</v>
      </c>
      <c r="L47" s="19">
        <f>D47/D$6</f>
        <v>1.6379102316602317E-2</v>
      </c>
      <c r="M47" s="19">
        <f>E47/E$6</f>
        <v>1.6095627716696499E-2</v>
      </c>
      <c r="N47" s="58">
        <f>F47/F$6</f>
        <v>1.6241464928615765E-2</v>
      </c>
      <c r="O47" s="19">
        <f t="shared" si="3"/>
        <v>5.9863945578231296E-3</v>
      </c>
      <c r="P47" s="20">
        <f t="shared" si="4"/>
        <v>2.0110600514058725E-2</v>
      </c>
      <c r="Q47" s="8"/>
      <c r="R47" s="43">
        <f t="shared" si="5"/>
        <v>198231.34339987222</v>
      </c>
      <c r="S47" s="44">
        <f t="shared" si="6"/>
        <v>227380.50900062072</v>
      </c>
      <c r="T47" s="82">
        <f t="shared" si="7"/>
        <v>212805.92620024647</v>
      </c>
      <c r="U47" s="19">
        <f t="shared" si="8"/>
        <v>0.28795465800913439</v>
      </c>
      <c r="V47" s="20">
        <f t="shared" si="9"/>
        <v>0.11710005293580943</v>
      </c>
      <c r="X47" s="66" t="s">
        <v>48</v>
      </c>
      <c r="Y47" s="25">
        <f>$Y$6*SUMPRODUCT($Y$3:$AD$3,$K47:$P47)</f>
        <v>212805.92620024647</v>
      </c>
      <c r="Z47" s="8"/>
      <c r="AA47" s="8"/>
      <c r="AB47" s="8"/>
      <c r="AC47" s="8"/>
      <c r="AD47" s="8"/>
      <c r="AE47" s="63"/>
    </row>
    <row r="48" spans="1:31" x14ac:dyDescent="0.35">
      <c r="A48" s="7" t="s">
        <v>49</v>
      </c>
      <c r="B48" s="22">
        <v>440.6</v>
      </c>
      <c r="C48" s="23">
        <v>360.7</v>
      </c>
      <c r="D48" s="23">
        <v>47.3</v>
      </c>
      <c r="E48" s="23">
        <v>51.2</v>
      </c>
      <c r="F48" s="21">
        <f t="shared" si="2"/>
        <v>98.5</v>
      </c>
      <c r="G48" s="25">
        <f>VLOOKUP($A48,[3]gas_and_manu_2019!$A$6:$C$58,2,FALSE)</f>
        <v>1</v>
      </c>
      <c r="H48" s="25">
        <f>VLOOKUP($A48,[3]gas_and_manu_2019!$A$6:$C$58,3,FALSE)</f>
        <v>44.8</v>
      </c>
      <c r="J48" s="18">
        <f>B48/B$6</f>
        <v>2.9190600176230135E-3</v>
      </c>
      <c r="K48" s="55">
        <f>C48/C$6</f>
        <v>2.8103719632867406E-3</v>
      </c>
      <c r="L48" s="19">
        <f>D48/D$6</f>
        <v>2.8535231660231659E-3</v>
      </c>
      <c r="M48" s="19">
        <f>E48/E$6</f>
        <v>3.2728202505753006E-3</v>
      </c>
      <c r="N48" s="58">
        <f>F48/F$6</f>
        <v>3.0571073867163251E-3</v>
      </c>
      <c r="O48" s="19">
        <f t="shared" si="3"/>
        <v>1.3605442176870747E-3</v>
      </c>
      <c r="P48" s="20">
        <f t="shared" si="4"/>
        <v>3.4893683308668895E-3</v>
      </c>
      <c r="Q48" s="8"/>
      <c r="R48" s="43">
        <f t="shared" si="5"/>
        <v>39345.207486014369</v>
      </c>
      <c r="S48" s="44">
        <f t="shared" si="6"/>
        <v>42799.50341402855</v>
      </c>
      <c r="T48" s="82">
        <f t="shared" si="7"/>
        <v>41072.35545002146</v>
      </c>
      <c r="U48" s="19">
        <f t="shared" si="8"/>
        <v>0.27308012198502912</v>
      </c>
      <c r="V48" s="20">
        <f t="shared" si="9"/>
        <v>0.11386846534522167</v>
      </c>
      <c r="X48" s="66" t="s">
        <v>49</v>
      </c>
      <c r="Y48" s="25">
        <f>$Y$6*SUMPRODUCT($Y$3:$AD$3,$K48:$P48)</f>
        <v>41072.35545002146</v>
      </c>
      <c r="Z48" s="8"/>
      <c r="AA48" s="8"/>
      <c r="AB48" s="8"/>
      <c r="AC48" s="8"/>
      <c r="AD48" s="8"/>
      <c r="AE48" s="63"/>
    </row>
    <row r="49" spans="1:31" x14ac:dyDescent="0.35">
      <c r="A49" s="7" t="s">
        <v>50</v>
      </c>
      <c r="B49" s="22">
        <v>3122.1</v>
      </c>
      <c r="C49" s="23">
        <v>2684.8</v>
      </c>
      <c r="D49" s="23">
        <v>349.1</v>
      </c>
      <c r="E49" s="23">
        <v>335.3</v>
      </c>
      <c r="F49" s="21">
        <f t="shared" si="2"/>
        <v>684.40000000000009</v>
      </c>
      <c r="G49" s="25">
        <f>VLOOKUP($A49,[3]gas_and_manu_2019!$A$6:$C$58,2,FALSE)</f>
        <v>4.5</v>
      </c>
      <c r="H49" s="25">
        <f>VLOOKUP($A49,[3]gas_and_manu_2019!$A$6:$C$58,3,FALSE)</f>
        <v>355.1</v>
      </c>
      <c r="J49" s="18">
        <f>B49/B$6</f>
        <v>2.0684514936497526E-2</v>
      </c>
      <c r="K49" s="55">
        <f>C49/C$6</f>
        <v>2.0918454801863714E-2</v>
      </c>
      <c r="L49" s="19">
        <f>D49/D$6</f>
        <v>2.10605694980695E-2</v>
      </c>
      <c r="M49" s="19">
        <f>E49/E$6</f>
        <v>2.1433137305037077E-2</v>
      </c>
      <c r="N49" s="58">
        <f>F49/F$6</f>
        <v>2.1241464928615769E-2</v>
      </c>
      <c r="O49" s="19">
        <f t="shared" si="3"/>
        <v>6.1224489795918364E-3</v>
      </c>
      <c r="P49" s="20">
        <f t="shared" si="4"/>
        <v>2.7657917283277517E-2</v>
      </c>
      <c r="Q49" s="8"/>
      <c r="R49" s="43">
        <f t="shared" si="5"/>
        <v>292858.36722609197</v>
      </c>
      <c r="S49" s="44">
        <f t="shared" si="6"/>
        <v>297380.50900062075</v>
      </c>
      <c r="T49" s="82">
        <f t="shared" si="7"/>
        <v>295119.43811335636</v>
      </c>
      <c r="U49" s="19">
        <f t="shared" si="8"/>
        <v>0.25491656734207391</v>
      </c>
      <c r="V49" s="20">
        <f t="shared" si="9"/>
        <v>0.10992231753328231</v>
      </c>
      <c r="X49" s="66" t="s">
        <v>50</v>
      </c>
      <c r="Y49" s="25">
        <f>$Y$6*SUMPRODUCT($Y$3:$AD$3,$K49:$P49)</f>
        <v>295119.43811335642</v>
      </c>
      <c r="Z49" s="8"/>
      <c r="AA49" s="8"/>
      <c r="AB49" s="8"/>
      <c r="AC49" s="8"/>
      <c r="AD49" s="8"/>
      <c r="AE49" s="63"/>
    </row>
    <row r="50" spans="1:31" x14ac:dyDescent="0.35">
      <c r="A50" s="7" t="s">
        <v>51</v>
      </c>
      <c r="B50" s="22">
        <v>12801.3</v>
      </c>
      <c r="C50" s="23">
        <v>10829.5</v>
      </c>
      <c r="D50" s="23">
        <v>1394.1</v>
      </c>
      <c r="E50" s="23">
        <v>1321.3</v>
      </c>
      <c r="F50" s="21">
        <f t="shared" si="2"/>
        <v>2715.3999999999996</v>
      </c>
      <c r="G50" s="25">
        <f>VLOOKUP($A50,[3]gas_and_manu_2019!$A$6:$C$58,2,FALSE)</f>
        <v>249.9</v>
      </c>
      <c r="H50" s="25">
        <f>VLOOKUP($A50,[3]gas_and_manu_2019!$A$6:$C$58,3,FALSE)</f>
        <v>906.6</v>
      </c>
      <c r="J50" s="18">
        <f>B50/B$6</f>
        <v>8.4811082622781378E-2</v>
      </c>
      <c r="K50" s="55">
        <f>C50/C$6</f>
        <v>8.4377386128122414E-2</v>
      </c>
      <c r="L50" s="19">
        <f>D50/D$6</f>
        <v>8.4103523166023167E-2</v>
      </c>
      <c r="M50" s="19">
        <f>E50/E$6</f>
        <v>8.4460496036819224E-2</v>
      </c>
      <c r="N50" s="58">
        <f>F50/F$6</f>
        <v>8.4276846679081308E-2</v>
      </c>
      <c r="O50" s="19">
        <f t="shared" si="3"/>
        <v>0.34</v>
      </c>
      <c r="P50" s="20">
        <f t="shared" si="4"/>
        <v>7.0612976088480411E-2</v>
      </c>
      <c r="Q50" s="8"/>
      <c r="R50" s="43">
        <f t="shared" si="5"/>
        <v>1181283.4057937139</v>
      </c>
      <c r="S50" s="44">
        <f t="shared" si="6"/>
        <v>1179875.8535071383</v>
      </c>
      <c r="T50" s="82">
        <f t="shared" si="7"/>
        <v>1180579.6296504261</v>
      </c>
      <c r="U50" s="19">
        <f t="shared" si="8"/>
        <v>0.2507410314418948</v>
      </c>
      <c r="V50" s="20">
        <f t="shared" si="9"/>
        <v>0.10901515579208884</v>
      </c>
      <c r="X50" s="66" t="s">
        <v>51</v>
      </c>
      <c r="Y50" s="25">
        <f>$Y$6*SUMPRODUCT($Y$3:$AD$3,$K50:$P50)</f>
        <v>1180579.6296504259</v>
      </c>
      <c r="Z50" s="8"/>
      <c r="AA50" s="8"/>
      <c r="AB50" s="8"/>
      <c r="AC50" s="8"/>
      <c r="AD50" s="8"/>
      <c r="AE50" s="63"/>
    </row>
    <row r="51" spans="1:31" x14ac:dyDescent="0.35">
      <c r="A51" s="7" t="s">
        <v>52</v>
      </c>
      <c r="B51" s="22">
        <v>1561</v>
      </c>
      <c r="C51" s="23">
        <v>1307.3</v>
      </c>
      <c r="D51" s="23">
        <v>154.4</v>
      </c>
      <c r="E51" s="23">
        <v>173.5</v>
      </c>
      <c r="F51" s="21">
        <f t="shared" si="2"/>
        <v>327.9</v>
      </c>
      <c r="G51" s="25">
        <f>VLOOKUP($A51,[3]gas_and_manu_2019!$A$6:$C$58,2,FALSE)</f>
        <v>9.4</v>
      </c>
      <c r="H51" s="25">
        <f>VLOOKUP($A51,[3]gas_and_manu_2019!$A$6:$C$58,3,FALSE)</f>
        <v>136.6</v>
      </c>
      <c r="J51" s="18">
        <f>B51/B$6</f>
        <v>1.0341926208600825E-2</v>
      </c>
      <c r="K51" s="55">
        <f>C51/C$6</f>
        <v>1.0185747900207253E-2</v>
      </c>
      <c r="L51" s="19">
        <f>D51/D$6</f>
        <v>9.3146718146718144E-3</v>
      </c>
      <c r="M51" s="19">
        <f>E51/E$6</f>
        <v>1.1090513935054972E-2</v>
      </c>
      <c r="N51" s="58">
        <f>F51/F$6</f>
        <v>1.0176908752327745E-2</v>
      </c>
      <c r="O51" s="19">
        <f t="shared" si="3"/>
        <v>1.2789115646258504E-2</v>
      </c>
      <c r="P51" s="20">
        <f t="shared" si="4"/>
        <v>1.0639457901705739E-2</v>
      </c>
      <c r="Q51" s="8"/>
      <c r="R51" s="43">
        <f t="shared" si="5"/>
        <v>142600.47060290154</v>
      </c>
      <c r="S51" s="44">
        <f t="shared" si="6"/>
        <v>142476.72253258844</v>
      </c>
      <c r="T51" s="82">
        <f t="shared" si="7"/>
        <v>142538.59656774497</v>
      </c>
      <c r="U51" s="19">
        <f t="shared" si="8"/>
        <v>0.25082230551518397</v>
      </c>
      <c r="V51" s="20">
        <f t="shared" si="9"/>
        <v>0.10903281310161782</v>
      </c>
      <c r="X51" s="66" t="s">
        <v>52</v>
      </c>
      <c r="Y51" s="25">
        <f>$Y$6*SUMPRODUCT($Y$3:$AD$3,$K51:$P51)</f>
        <v>142538.596567745</v>
      </c>
      <c r="Z51" s="8"/>
      <c r="AA51" s="8"/>
      <c r="AB51" s="8"/>
      <c r="AC51" s="8"/>
      <c r="AD51" s="8"/>
      <c r="AE51" s="63"/>
    </row>
    <row r="52" spans="1:31" x14ac:dyDescent="0.35">
      <c r="A52" s="7" t="s">
        <v>53</v>
      </c>
      <c r="B52" s="22">
        <v>316.10000000000002</v>
      </c>
      <c r="C52" s="23">
        <v>259.39999999999998</v>
      </c>
      <c r="D52" s="23">
        <v>37.4</v>
      </c>
      <c r="E52" s="23">
        <v>36.6</v>
      </c>
      <c r="F52" s="21">
        <f t="shared" si="2"/>
        <v>74</v>
      </c>
      <c r="G52" s="25">
        <f>VLOOKUP($A52,[3]gas_and_manu_2019!$A$6:$C$58,2,FALSE)</f>
        <v>0.8</v>
      </c>
      <c r="H52" s="25">
        <f>VLOOKUP($A52,[3]gas_and_manu_2019!$A$6:$C$58,3,FALSE)</f>
        <v>30</v>
      </c>
      <c r="J52" s="18">
        <f>B52/B$6</f>
        <v>2.0942234942592703E-3</v>
      </c>
      <c r="K52" s="55">
        <f>C52/C$6</f>
        <v>2.0210992161812597E-3</v>
      </c>
      <c r="L52" s="19">
        <f>D52/D$6</f>
        <v>2.2562741312741313E-3</v>
      </c>
      <c r="M52" s="19">
        <f>E52/E$6</f>
        <v>2.3395551009971877E-3</v>
      </c>
      <c r="N52" s="58">
        <f>F52/F$6</f>
        <v>2.2967101179391684E-3</v>
      </c>
      <c r="O52" s="19">
        <f t="shared" si="3"/>
        <v>1.0884353741496598E-3</v>
      </c>
      <c r="P52" s="20">
        <f t="shared" si="4"/>
        <v>2.3366305787055068E-3</v>
      </c>
      <c r="Q52" s="8"/>
      <c r="R52" s="43">
        <f t="shared" si="5"/>
        <v>28295.389026537636</v>
      </c>
      <c r="S52" s="44">
        <f t="shared" si="6"/>
        <v>32153.941651148358</v>
      </c>
      <c r="T52" s="82">
        <f t="shared" si="7"/>
        <v>30224.665338842999</v>
      </c>
      <c r="U52" s="19">
        <f t="shared" si="8"/>
        <v>0.28527370855821127</v>
      </c>
      <c r="V52" s="20">
        <f t="shared" si="9"/>
        <v>0.1165175996100347</v>
      </c>
      <c r="X52" s="66" t="s">
        <v>53</v>
      </c>
      <c r="Y52" s="25">
        <f>$Y$6*SUMPRODUCT($Y$3:$AD$3,$K52:$P52)</f>
        <v>30224.665338842995</v>
      </c>
      <c r="Z52" s="8"/>
      <c r="AA52" s="8"/>
      <c r="AB52" s="8"/>
      <c r="AC52" s="8"/>
      <c r="AD52" s="8"/>
      <c r="AE52" s="63"/>
    </row>
    <row r="53" spans="1:31" x14ac:dyDescent="0.35">
      <c r="A53" s="7" t="s">
        <v>54</v>
      </c>
      <c r="B53" s="22">
        <v>4058.5</v>
      </c>
      <c r="C53" s="23">
        <v>3327.7</v>
      </c>
      <c r="D53" s="23">
        <v>410.7</v>
      </c>
      <c r="E53" s="23">
        <v>406.8</v>
      </c>
      <c r="F53" s="21">
        <f t="shared" si="2"/>
        <v>817.5</v>
      </c>
      <c r="G53" s="25">
        <f>VLOOKUP($A53,[3]gas_and_manu_2019!$A$6:$C$58,2,FALSE)</f>
        <v>7.9</v>
      </c>
      <c r="H53" s="25">
        <f>VLOOKUP($A53,[3]gas_and_manu_2019!$A$6:$C$58,3,FALSE)</f>
        <v>243.4</v>
      </c>
      <c r="J53" s="18">
        <f>B53/B$6</f>
        <v>2.6888345623066273E-2</v>
      </c>
      <c r="K53" s="55">
        <f>C53/C$6</f>
        <v>2.5927570785221198E-2</v>
      </c>
      <c r="L53" s="19">
        <f>D53/D$6</f>
        <v>2.4776785714285713E-2</v>
      </c>
      <c r="M53" s="19">
        <f>E53/E$6</f>
        <v>2.6003579647149066E-2</v>
      </c>
      <c r="N53" s="58">
        <f>F53/F$6</f>
        <v>2.5372439478584731E-2</v>
      </c>
      <c r="O53" s="19">
        <f t="shared" si="3"/>
        <v>1.0748299319727891E-2</v>
      </c>
      <c r="P53" s="20">
        <f t="shared" si="4"/>
        <v>1.8957862761897343E-2</v>
      </c>
      <c r="Q53" s="8"/>
      <c r="R53" s="43">
        <f t="shared" si="5"/>
        <v>362985.99099309678</v>
      </c>
      <c r="S53" s="44">
        <f t="shared" si="6"/>
        <v>355214.15270018624</v>
      </c>
      <c r="T53" s="82">
        <f t="shared" si="7"/>
        <v>359100.07184664148</v>
      </c>
      <c r="U53" s="19">
        <f t="shared" si="8"/>
        <v>0.24566517414430389</v>
      </c>
      <c r="V53" s="20">
        <f t="shared" si="9"/>
        <v>0.10791239349900576</v>
      </c>
      <c r="X53" s="66" t="s">
        <v>54</v>
      </c>
      <c r="Y53" s="25">
        <f>$Y$6*SUMPRODUCT($Y$3:$AD$3,$K53:$P53)</f>
        <v>359100.07184664148</v>
      </c>
      <c r="Z53" s="8"/>
      <c r="AA53" s="8"/>
      <c r="AB53" s="8"/>
      <c r="AC53" s="8"/>
      <c r="AD53" s="8"/>
      <c r="AE53" s="63"/>
    </row>
    <row r="54" spans="1:31" x14ac:dyDescent="0.35">
      <c r="A54" s="7" t="s">
        <v>55</v>
      </c>
      <c r="B54" s="22">
        <v>3469.2</v>
      </c>
      <c r="C54" s="23">
        <v>2881.7</v>
      </c>
      <c r="D54" s="23">
        <v>348.4</v>
      </c>
      <c r="E54" s="23">
        <v>390.6</v>
      </c>
      <c r="F54" s="21">
        <f t="shared" si="2"/>
        <v>739</v>
      </c>
      <c r="G54" s="25">
        <f>VLOOKUP($A54,[3]gas_and_manu_2019!$A$6:$C$58,2,FALSE)</f>
        <v>5.9</v>
      </c>
      <c r="H54" s="25">
        <f>VLOOKUP($A54,[3]gas_and_manu_2019!$A$6:$C$58,3,FALSE)</f>
        <v>293.5</v>
      </c>
      <c r="J54" s="18">
        <f>B54/B$6</f>
        <v>2.2984119412477886E-2</v>
      </c>
      <c r="K54" s="55">
        <f>C54/C$6</f>
        <v>2.24525890951023E-2</v>
      </c>
      <c r="L54" s="19">
        <f>D54/D$6</f>
        <v>2.1018339768339767E-2</v>
      </c>
      <c r="M54" s="19">
        <f>E54/E$6</f>
        <v>2.4968038864740479E-2</v>
      </c>
      <c r="N54" s="58">
        <f>F54/F$6</f>
        <v>2.2936064556176288E-2</v>
      </c>
      <c r="O54" s="19">
        <f t="shared" si="3"/>
        <v>8.0272108843537412E-3</v>
      </c>
      <c r="P54" s="20">
        <f t="shared" si="4"/>
        <v>2.286003582833554E-2</v>
      </c>
      <c r="Q54" s="8"/>
      <c r="R54" s="43">
        <f t="shared" si="5"/>
        <v>314336.24733143218</v>
      </c>
      <c r="S54" s="44">
        <f t="shared" si="6"/>
        <v>321104.90378646803</v>
      </c>
      <c r="T54" s="82">
        <f t="shared" si="7"/>
        <v>317720.57555895008</v>
      </c>
      <c r="U54" s="19">
        <f t="shared" si="8"/>
        <v>0.25644584793698166</v>
      </c>
      <c r="V54" s="20">
        <f t="shared" si="9"/>
        <v>0.11025456347258565</v>
      </c>
      <c r="X54" s="66" t="s">
        <v>55</v>
      </c>
      <c r="Y54" s="25">
        <f>$Y$6*SUMPRODUCT($Y$3:$AD$3,$K54:$P54)</f>
        <v>317720.57555895014</v>
      </c>
      <c r="Z54" s="8"/>
      <c r="AA54" s="8"/>
      <c r="AB54" s="8"/>
      <c r="AC54" s="8"/>
      <c r="AD54" s="8"/>
      <c r="AE54" s="63"/>
    </row>
    <row r="55" spans="1:31" x14ac:dyDescent="0.35">
      <c r="A55" s="7" t="s">
        <v>56</v>
      </c>
      <c r="B55" s="22">
        <v>719.5</v>
      </c>
      <c r="C55" s="23">
        <v>567.70000000000005</v>
      </c>
      <c r="D55" s="23">
        <v>74.900000000000006</v>
      </c>
      <c r="E55" s="23">
        <v>80.3</v>
      </c>
      <c r="F55" s="21">
        <f t="shared" si="2"/>
        <v>155.19999999999999</v>
      </c>
      <c r="G55" s="25">
        <f>VLOOKUP($A55,[3]gas_and_manu_2019!$A$6:$C$58,2,FALSE)</f>
        <v>22.4</v>
      </c>
      <c r="H55" s="25">
        <f>VLOOKUP($A55,[3]gas_and_manu_2019!$A$6:$C$58,3,FALSE)</f>
        <v>47</v>
      </c>
      <c r="J55" s="18">
        <f>B55/B$6</f>
        <v>4.7668263338169724E-3</v>
      </c>
      <c r="K55" s="55">
        <f>C55/C$6</f>
        <v>4.4231997880728657E-3</v>
      </c>
      <c r="L55" s="19">
        <f>D55/D$6</f>
        <v>4.5185810810810818E-3</v>
      </c>
      <c r="M55" s="19">
        <f>E55/E$6</f>
        <v>5.1329583226796217E-3</v>
      </c>
      <c r="N55" s="58">
        <f>F55/F$6</f>
        <v>4.816883923029174E-3</v>
      </c>
      <c r="O55" s="19">
        <f t="shared" si="3"/>
        <v>3.0476190476190473E-2</v>
      </c>
      <c r="P55" s="20">
        <f t="shared" si="4"/>
        <v>3.6607212399719603E-3</v>
      </c>
      <c r="Q55" s="8"/>
      <c r="R55" s="43">
        <f t="shared" si="5"/>
        <v>61924.797033020121</v>
      </c>
      <c r="S55" s="44">
        <f t="shared" si="6"/>
        <v>67436.374922408431</v>
      </c>
      <c r="T55" s="82">
        <f t="shared" si="7"/>
        <v>64680.585977714276</v>
      </c>
      <c r="U55" s="19">
        <f t="shared" si="8"/>
        <v>0.27338382948740531</v>
      </c>
      <c r="V55" s="20">
        <f t="shared" si="9"/>
        <v>0.11393444773245424</v>
      </c>
      <c r="X55" s="66" t="s">
        <v>56</v>
      </c>
      <c r="Y55" s="25">
        <f>$Y$6*SUMPRODUCT($Y$3:$AD$3,$K55:$P55)</f>
        <v>64680.585977714276</v>
      </c>
      <c r="Z55" s="8"/>
      <c r="AA55" s="8"/>
      <c r="AB55" s="8"/>
      <c r="AC55" s="8"/>
      <c r="AD55" s="8"/>
      <c r="AE55" s="63"/>
    </row>
    <row r="56" spans="1:31" x14ac:dyDescent="0.35">
      <c r="A56" s="7" t="s">
        <v>57</v>
      </c>
      <c r="B56" s="22">
        <v>2981.4</v>
      </c>
      <c r="C56" s="23">
        <v>2575.5</v>
      </c>
      <c r="D56" s="23">
        <v>284.5</v>
      </c>
      <c r="E56" s="23">
        <v>298.2</v>
      </c>
      <c r="F56" s="21">
        <f t="shared" si="2"/>
        <v>582.70000000000005</v>
      </c>
      <c r="G56" s="25">
        <f>VLOOKUP($A56,[3]gas_and_manu_2019!$A$6:$C$58,2,FALSE)</f>
        <v>4.2</v>
      </c>
      <c r="H56" s="25">
        <f>VLOOKUP($A56,[3]gas_and_manu_2019!$A$6:$C$58,3,FALSE)</f>
        <v>484.3</v>
      </c>
      <c r="J56" s="18">
        <f>B56/B$6</f>
        <v>1.9752350287202115E-2</v>
      </c>
      <c r="K56" s="55">
        <f>C56/C$6</f>
        <v>2.0066850544621571E-2</v>
      </c>
      <c r="L56" s="19">
        <f>D56/D$6</f>
        <v>1.7163368725868725E-2</v>
      </c>
      <c r="M56" s="19">
        <f>E56/E$6</f>
        <v>1.9061621068780361E-2</v>
      </c>
      <c r="N56" s="58">
        <f>F56/F$6</f>
        <v>1.808504034761018E-2</v>
      </c>
      <c r="O56" s="19">
        <f t="shared" si="3"/>
        <v>5.7142857142857143E-3</v>
      </c>
      <c r="P56" s="20">
        <f t="shared" si="4"/>
        <v>3.7721006308902565E-2</v>
      </c>
      <c r="Q56" s="8"/>
      <c r="R56" s="43">
        <f t="shared" si="5"/>
        <v>280935.90762470197</v>
      </c>
      <c r="S56" s="44">
        <f t="shared" si="6"/>
        <v>253190.56486654253</v>
      </c>
      <c r="T56" s="82">
        <f t="shared" si="7"/>
        <v>267063.23624562228</v>
      </c>
      <c r="U56" s="19">
        <f t="shared" si="8"/>
        <v>0.22624733061541449</v>
      </c>
      <c r="V56" s="20">
        <f t="shared" si="9"/>
        <v>0.10369374344617444</v>
      </c>
      <c r="X56" s="66" t="s">
        <v>57</v>
      </c>
      <c r="Y56" s="25">
        <f>$Y$6*SUMPRODUCT($Y$3:$AD$3,$K56:$P56)</f>
        <v>267063.23624562228</v>
      </c>
      <c r="Z56" s="8"/>
      <c r="AA56" s="8"/>
      <c r="AB56" s="8"/>
      <c r="AC56" s="8"/>
      <c r="AD56" s="8"/>
      <c r="AE56" s="63"/>
    </row>
    <row r="57" spans="1:31" ht="13.15" thickBot="1" x14ac:dyDescent="0.4">
      <c r="A57" s="11" t="s">
        <v>58</v>
      </c>
      <c r="B57" s="22">
        <v>289.60000000000002</v>
      </c>
      <c r="C57" s="23">
        <v>220.7</v>
      </c>
      <c r="D57" s="23">
        <v>36.6</v>
      </c>
      <c r="E57" s="23">
        <v>28.9</v>
      </c>
      <c r="F57" s="21">
        <f t="shared" si="2"/>
        <v>65.5</v>
      </c>
      <c r="G57" s="25">
        <f>VLOOKUP($A57,[3]gas_and_manu_2019!$A$6:$C$58,2,FALSE)</f>
        <v>20.8</v>
      </c>
      <c r="H57" s="25">
        <f>VLOOKUP($A57,[3]gas_and_manu_2019!$A$6:$C$58,3,FALSE)</f>
        <v>10.1</v>
      </c>
      <c r="J57" s="18">
        <f>B57/B$6</f>
        <v>1.91865588085253E-3</v>
      </c>
      <c r="K57" s="55">
        <f>C57/C$6</f>
        <v>1.7195705358951582E-3</v>
      </c>
      <c r="L57" s="19">
        <f>D57/D$6</f>
        <v>2.2080115830115832E-3</v>
      </c>
      <c r="M57" s="19">
        <f>E57/E$6</f>
        <v>1.8473536180005114E-3</v>
      </c>
      <c r="N57" s="58">
        <f>F57/F$6</f>
        <v>2.0328988206083178E-3</v>
      </c>
      <c r="O57" s="19">
        <f t="shared" si="3"/>
        <v>2.8299319727891157E-2</v>
      </c>
      <c r="P57" s="20">
        <f t="shared" si="4"/>
        <v>7.866656281641872E-4</v>
      </c>
      <c r="Q57" s="8"/>
      <c r="R57" s="43">
        <f t="shared" si="5"/>
        <v>24073.987502532214</v>
      </c>
      <c r="S57" s="44">
        <f t="shared" si="6"/>
        <v>28460.583488516451</v>
      </c>
      <c r="T57" s="82">
        <f t="shared" si="7"/>
        <v>26267.285495524331</v>
      </c>
      <c r="U57" s="19">
        <f t="shared" si="8"/>
        <v>0.29678296329859538</v>
      </c>
      <c r="V57" s="20">
        <f t="shared" si="9"/>
        <v>0.11901805843010571</v>
      </c>
      <c r="X57" s="67" t="s">
        <v>58</v>
      </c>
      <c r="Y57" s="68">
        <f>$Y$6*SUMPRODUCT($Y$3:$AD$3,$K57:$P57)</f>
        <v>26267.285495524331</v>
      </c>
      <c r="Z57" s="69"/>
      <c r="AA57" s="69"/>
      <c r="AB57" s="69"/>
      <c r="AC57" s="69"/>
      <c r="AD57" s="69"/>
      <c r="AE57" s="70"/>
    </row>
    <row r="58" spans="1:31" ht="14.25" x14ac:dyDescent="0.45">
      <c r="A58" t="s">
        <v>71</v>
      </c>
    </row>
    <row r="59" spans="1:31" x14ac:dyDescent="0.35">
      <c r="A59" s="9" t="s">
        <v>59</v>
      </c>
    </row>
  </sheetData>
  <mergeCells count="7">
    <mergeCell ref="X1:AE1"/>
    <mergeCell ref="AA6:AE30"/>
    <mergeCell ref="R2:S2"/>
    <mergeCell ref="R3:V3"/>
    <mergeCell ref="B3:F3"/>
    <mergeCell ref="J3:N3"/>
    <mergeCell ref="X2:X3"/>
  </mergeCells>
  <conditionalFormatting sqref="A6:Y57">
    <cfRule type="expression" dxfId="2" priority="3">
      <formula>MOD(ROW(),2)=1</formula>
    </cfRule>
  </conditionalFormatting>
  <conditionalFormatting sqref="Y6">
    <cfRule type="expression" dxfId="1" priority="2">
      <formula>MOD(ROW(),2)=1</formula>
    </cfRule>
  </conditionalFormatting>
  <conditionalFormatting sqref="X6:X57">
    <cfRule type="expression" dxfId="0" priority="1">
      <formula>MOD(ROW(),2)=1</formula>
    </cfRule>
  </conditionalFormatting>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Analysis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 Wolfe</dc:creator>
  <cp:lastModifiedBy>Dave Cooper</cp:lastModifiedBy>
  <dcterms:created xsi:type="dcterms:W3CDTF">2020-03-19T14:47:49Z</dcterms:created>
  <dcterms:modified xsi:type="dcterms:W3CDTF">2020-03-23T18:46:31Z</dcterms:modified>
</cp:coreProperties>
</file>